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swanth\Desktop\IRC Pavement Design\"/>
    </mc:Choice>
  </mc:AlternateContent>
  <xr:revisionPtr revIDLastSave="0" documentId="13_ncr:1_{4D994CCD-073C-49A4-BE95-5610AFBC6335}" xr6:coauthVersionLast="47" xr6:coauthVersionMax="47" xr10:uidLastSave="{00000000-0000-0000-0000-000000000000}"/>
  <bookViews>
    <workbookView xWindow="-108" yWindow="-108" windowWidth="23256" windowHeight="12456" activeTab="2" xr2:uid="{89286625-D6EE-4B7B-90F2-E5D1097D8C8F}"/>
  </bookViews>
  <sheets>
    <sheet name="Traffic Design" sheetId="1" r:id="rId1"/>
    <sheet name="Pavement" sheetId="3" r:id="rId2"/>
    <sheet name="IITPAVE" sheetId="5" r:id="rId3"/>
    <sheet name="Report" sheetId="8" r:id="rId4"/>
    <sheet name="Data" sheetId="2" state="hidden" r:id="rId5"/>
    <sheet name="Plate" sheetId="4" state="hidden" r:id="rId6"/>
  </sheets>
  <definedNames>
    <definedName name="_xlnm.Print_Area" localSheetId="2">IITPAVE!$A$1:$J$15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H16" i="8"/>
  <c r="K16" i="8"/>
  <c r="H2" i="5"/>
  <c r="B9" i="3"/>
  <c r="B20" i="8" s="1"/>
  <c r="H2" i="8"/>
  <c r="J5" i="8"/>
  <c r="J4" i="8"/>
  <c r="J3" i="8"/>
  <c r="H3" i="8"/>
  <c r="H7" i="8"/>
  <c r="J10" i="8"/>
  <c r="J9" i="8"/>
  <c r="J8" i="8"/>
  <c r="H12" i="8"/>
  <c r="F26" i="8"/>
  <c r="D26" i="8"/>
  <c r="B26" i="8"/>
  <c r="F20" i="8"/>
  <c r="E20" i="8"/>
  <c r="D20" i="8"/>
  <c r="C20" i="8"/>
  <c r="C18" i="8"/>
  <c r="C13" i="8"/>
  <c r="C14" i="8"/>
  <c r="B21" i="8" s="1"/>
  <c r="C11" i="8"/>
  <c r="C5" i="8"/>
  <c r="C4" i="8"/>
  <c r="L4" i="8"/>
  <c r="J11" i="8"/>
  <c r="H6" i="8"/>
  <c r="J6" i="8"/>
  <c r="C7" i="1"/>
  <c r="C6" i="8"/>
  <c r="C10" i="8"/>
  <c r="C3" i="8"/>
  <c r="C2" i="8"/>
  <c r="C9" i="8"/>
  <c r="C17" i="8"/>
  <c r="B22" i="8" l="1"/>
  <c r="C7" i="8"/>
  <c r="E9" i="2"/>
  <c r="E8" i="2"/>
  <c r="E8" i="1" s="1"/>
  <c r="C8" i="1" s="1"/>
  <c r="C8" i="8" s="1"/>
  <c r="X9" i="2"/>
  <c r="Y9" i="2" s="1"/>
  <c r="X8" i="2"/>
  <c r="Y8" i="2" s="1"/>
  <c r="B10" i="3"/>
  <c r="B12" i="3"/>
  <c r="B23" i="8" s="1"/>
  <c r="C11" i="1" l="1"/>
  <c r="Z9" i="2"/>
  <c r="Z8" i="2"/>
  <c r="D14" i="5"/>
  <c r="D12" i="5"/>
  <c r="B9" i="5"/>
  <c r="D9" i="5"/>
  <c r="H2" i="4" l="1"/>
  <c r="G2" i="3" s="1"/>
  <c r="B8" i="5"/>
  <c r="H5" i="8" s="1"/>
  <c r="A10" i="4" l="1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6" i="4"/>
  <c r="A7" i="4"/>
  <c r="A8" i="4"/>
  <c r="A9" i="4"/>
  <c r="A5" i="4"/>
  <c r="A4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51" i="4" l="1"/>
  <c r="C50" i="4"/>
  <c r="C49" i="4"/>
  <c r="C48" i="4"/>
  <c r="C47" i="4"/>
  <c r="C46" i="4"/>
  <c r="C15" i="8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B6" i="3" s="1"/>
  <c r="W4" i="2" l="1"/>
  <c r="C12" i="8"/>
  <c r="W3" i="2"/>
  <c r="V4" i="2"/>
  <c r="V3" i="2"/>
  <c r="B13" i="3"/>
  <c r="I2" i="4"/>
  <c r="J2" i="4" s="1"/>
  <c r="B14" i="3" l="1"/>
  <c r="I7" i="5" s="1"/>
  <c r="J16" i="8" s="1"/>
  <c r="G7" i="5"/>
  <c r="G16" i="8" s="1"/>
  <c r="B24" i="8"/>
  <c r="H7" i="3"/>
  <c r="H6" i="3"/>
  <c r="H5" i="3"/>
  <c r="H4" i="3"/>
  <c r="H3" i="3"/>
  <c r="A9" i="3"/>
  <c r="A20" i="8" s="1"/>
  <c r="B25" i="8" l="1"/>
  <c r="B11" i="3"/>
  <c r="B7" i="5" s="1"/>
  <c r="H4" i="8" s="1"/>
  <c r="F6" i="5"/>
  <c r="F7" i="5"/>
  <c r="B11" i="5" l="1"/>
  <c r="H8" i="8" s="1"/>
  <c r="L3" i="8"/>
  <c r="B12" i="5"/>
  <c r="H9" i="8" s="1"/>
  <c r="B13" i="5"/>
  <c r="H10" i="8" s="1"/>
  <c r="B14" i="5"/>
  <c r="H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Raswanth</author>
  </authors>
  <commentList>
    <comment ref="C5" authorId="0" shapeId="0" xr:uid="{42BAB2F6-D0F6-494D-BB28-0652F54F8B65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Minimum 5%</t>
        </r>
      </text>
    </comment>
    <comment ref="C10" authorId="0" shapeId="0" xr:uid="{82841AD5-A945-42B7-896D-B5CE4BE0FD8D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Expressways,NH,SH -20 years
MDR,ODR,VR - 15 Years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Raswanth</author>
  </authors>
  <commentList>
    <comment ref="D6" authorId="0" shapeId="0" xr:uid="{06ECA0CF-0FB6-4A88-9221-DEF3BF4E8104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0.35 - Bituminous layer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Raswanth</author>
  </authors>
  <commentList>
    <comment ref="J3" authorId="0" shapeId="0" xr:uid="{C679F64C-5CE8-4DAA-ADE6-24D55B5E70C7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0.35 - Bituminous layer</t>
        </r>
      </text>
    </comment>
    <comment ref="C5" authorId="0" shapeId="0" xr:uid="{1B817A94-DEF7-498D-9878-C18BCDA63A9D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Minimum 5%</t>
        </r>
      </text>
    </comment>
    <comment ref="C11" authorId="0" shapeId="0" xr:uid="{8C594029-2319-4FBB-A6A9-D516D707C0B6}">
      <text>
        <r>
          <rPr>
            <b/>
            <sz val="9"/>
            <color indexed="81"/>
            <rFont val="Tahoma"/>
            <family val="2"/>
          </rPr>
          <t xml:space="preserve">Info:
</t>
        </r>
        <r>
          <rPr>
            <sz val="9"/>
            <color indexed="81"/>
            <rFont val="Tahoma"/>
            <family val="2"/>
          </rPr>
          <t>Expressways,NH,SH -20 years
MDR,ODR,VR - 15 Years</t>
        </r>
      </text>
    </comment>
  </commentList>
</comments>
</file>

<file path=xl/sharedStrings.xml><?xml version="1.0" encoding="utf-8"?>
<sst xmlns="http://schemas.openxmlformats.org/spreadsheetml/2006/main" count="319" uniqueCount="153">
  <si>
    <t>Traffic in CVPD as per last count</t>
  </si>
  <si>
    <t>r</t>
  </si>
  <si>
    <t>Construction Period</t>
  </si>
  <si>
    <t>x</t>
  </si>
  <si>
    <t>Design Period</t>
  </si>
  <si>
    <t>Vehicle damage factor</t>
  </si>
  <si>
    <t>F</t>
  </si>
  <si>
    <t>n</t>
  </si>
  <si>
    <t>Type of carriage way</t>
  </si>
  <si>
    <t>Single-lane roads</t>
  </si>
  <si>
    <t>Intermediate lane roads</t>
  </si>
  <si>
    <t>Two-lane two-way roads</t>
  </si>
  <si>
    <t>Four-lane single carriageway roads</t>
  </si>
  <si>
    <t>Dual two-lane carriageway roads</t>
  </si>
  <si>
    <t>Lane distribution factor</t>
  </si>
  <si>
    <t>Type of carriageway</t>
  </si>
  <si>
    <t>Lane distribustion  factor</t>
  </si>
  <si>
    <t>Dual three-lane carriageway</t>
  </si>
  <si>
    <t>Dual four-lane carriageway</t>
  </si>
  <si>
    <t>Clause 4.5.1</t>
  </si>
  <si>
    <t>Annual growth rate of commercial vehicles in percentage</t>
  </si>
  <si>
    <t>P</t>
  </si>
  <si>
    <t>D</t>
  </si>
  <si>
    <t>Initial (Two-Way) Traffic Volume in Terms of Commercial Vehicles Per Day</t>
  </si>
  <si>
    <t>Terrain</t>
  </si>
  <si>
    <t>Rolling/Plain</t>
  </si>
  <si>
    <t>Hilly</t>
  </si>
  <si>
    <t>0-150</t>
  </si>
  <si>
    <t>150-1500</t>
  </si>
  <si>
    <t>More than 1500</t>
  </si>
  <si>
    <t>Table 4.2 Indicative VDF Values</t>
  </si>
  <si>
    <t>Select the type of terrain</t>
  </si>
  <si>
    <t>A</t>
  </si>
  <si>
    <t>The traffic in the year of completion of construction</t>
  </si>
  <si>
    <t>The cumulative number of standard axles to be catered for during the design in terms of msa</t>
  </si>
  <si>
    <t>N</t>
  </si>
  <si>
    <t>Design Traffic</t>
  </si>
  <si>
    <t>Table 9.1 Summary of Bituminous Layer Options Recommended in these Guidelines</t>
  </si>
  <si>
    <t>Traffic Level</t>
  </si>
  <si>
    <t>&gt;50 msa</t>
  </si>
  <si>
    <t>20-50 msa</t>
  </si>
  <si>
    <t>&lt;20 msa</t>
  </si>
  <si>
    <t>Mix Type</t>
  </si>
  <si>
    <t>Bitumen type</t>
  </si>
  <si>
    <t>Surface course</t>
  </si>
  <si>
    <t>Base/Binder Course</t>
  </si>
  <si>
    <t>Mix type</t>
  </si>
  <si>
    <t>DBM</t>
  </si>
  <si>
    <t>VG40</t>
  </si>
  <si>
    <t>DBM/BM</t>
  </si>
  <si>
    <t>VG40 or VG30</t>
  </si>
  <si>
    <t>SMA</t>
  </si>
  <si>
    <t>Crumb rubber modified bitumen</t>
  </si>
  <si>
    <t>GGRB</t>
  </si>
  <si>
    <t>BC</t>
  </si>
  <si>
    <t>With modified bitumen</t>
  </si>
  <si>
    <t>Modified bitumen or VG40</t>
  </si>
  <si>
    <t>BC/SDBC/PMC/MSS/ Surface Dressing (besides SMA, GGRB and BC with modified binders)</t>
  </si>
  <si>
    <t>BC and DBM for VG10 bitumen</t>
  </si>
  <si>
    <t>BC and DBM for VG30 bitumen</t>
  </si>
  <si>
    <t>BC and DBM for VG40 bitumen</t>
  </si>
  <si>
    <t>BM with VG10 bitumen</t>
  </si>
  <si>
    <t>BM with VG30 bitumen</t>
  </si>
  <si>
    <t xml:space="preserve"> Table 9.2 Indicative Values of Resilient Modulus (MPa) of Bituminous Mixes</t>
  </si>
  <si>
    <t>Effective resilient modulus of Subgrade</t>
  </si>
  <si>
    <t>Type of Bitumen</t>
  </si>
  <si>
    <t>Temp</t>
  </si>
  <si>
    <t>BC with Modified Bitumen</t>
  </si>
  <si>
    <t>BM with VG40 bitumen</t>
  </si>
  <si>
    <t>Resilient Modulus of Bituminous Mixes</t>
  </si>
  <si>
    <t>Effective CBR  5%</t>
  </si>
  <si>
    <t>Cumulative Traffic                            (msa)</t>
  </si>
  <si>
    <t>Total Pavement Thickness  (mm)</t>
  </si>
  <si>
    <t>Pavment Composition</t>
  </si>
  <si>
    <t>Bituminous Course</t>
  </si>
  <si>
    <t>WMM</t>
  </si>
  <si>
    <t>GSB</t>
  </si>
  <si>
    <t>Surface Course</t>
  </si>
  <si>
    <t>Base / Binder Course</t>
  </si>
  <si>
    <t>Effective CBR  6%</t>
  </si>
  <si>
    <t>Effective CBR  7%</t>
  </si>
  <si>
    <t>Effective CBR  8%</t>
  </si>
  <si>
    <t>Effective CBR  9%</t>
  </si>
  <si>
    <t>Effective CBR  10%</t>
  </si>
  <si>
    <t>Effective CBR  12%</t>
  </si>
  <si>
    <t>Effective CBR  15%</t>
  </si>
  <si>
    <t>Thickness of Individual Layers (in mm)</t>
  </si>
  <si>
    <t>Plate1</t>
  </si>
  <si>
    <t>Plate2</t>
  </si>
  <si>
    <t>Plate3</t>
  </si>
  <si>
    <t>Plate4</t>
  </si>
  <si>
    <t>Plate5</t>
  </si>
  <si>
    <t>Plate6</t>
  </si>
  <si>
    <t>Plate7</t>
  </si>
  <si>
    <t>Plate8</t>
  </si>
  <si>
    <t xml:space="preserve"> Bituminous Surface Course with 
Granular Base and Sub-base</t>
  </si>
  <si>
    <t>Resilient Modulus of the Subgrade</t>
  </si>
  <si>
    <t>Category of Road</t>
  </si>
  <si>
    <t>Reliability Factor</t>
  </si>
  <si>
    <t>No of Layers</t>
  </si>
  <si>
    <t>Layer:1     Elastic Modulus(Mpa)</t>
  </si>
  <si>
    <t>Layer:2     Elastic Modulus(Mpa)</t>
  </si>
  <si>
    <t>Layer:3     Elastic Modulus(Mpa)</t>
  </si>
  <si>
    <t>Wheel Load (N)</t>
  </si>
  <si>
    <t>Tyre Pressure</t>
  </si>
  <si>
    <t xml:space="preserve">Analysis Point </t>
  </si>
  <si>
    <t>Point:1     Depth(mm)</t>
  </si>
  <si>
    <t>Radius(mm)</t>
  </si>
  <si>
    <t>Point:2     Depth(mm)</t>
  </si>
  <si>
    <t>Wheel Set</t>
  </si>
  <si>
    <t>Poison Ratio</t>
  </si>
  <si>
    <t>Thickness(mm)</t>
  </si>
  <si>
    <t>Tyre Pressure(Mpa)</t>
  </si>
  <si>
    <t>Expressway</t>
  </si>
  <si>
    <t>National Highway (NH)</t>
  </si>
  <si>
    <t>State Highway (SH)</t>
  </si>
  <si>
    <t>Major District Highways (MDR)</t>
  </si>
  <si>
    <t>Other District Roads (ODR)</t>
  </si>
  <si>
    <t>Village Roads (VR)</t>
  </si>
  <si>
    <t>Load on single wheel (N)</t>
  </si>
  <si>
    <t>Point:3     Depth(mm)</t>
  </si>
  <si>
    <t>Point:4     Depth(mm)</t>
  </si>
  <si>
    <t>Resilient modulus of Granular layer</t>
  </si>
  <si>
    <t>IITPAVE INPUTS</t>
  </si>
  <si>
    <r>
      <t>Allowable  Horizontal Tensile Strain ( ɛ</t>
    </r>
    <r>
      <rPr>
        <b/>
        <vertAlign val="subscript"/>
        <sz val="11"/>
        <color theme="1"/>
        <rFont val="Times New Roman"/>
        <family val="1"/>
      </rPr>
      <t xml:space="preserve">t </t>
    </r>
    <r>
      <rPr>
        <b/>
        <sz val="11"/>
        <color theme="1"/>
        <rFont val="Times New Roman"/>
        <family val="1"/>
      </rPr>
      <t xml:space="preserve">) </t>
    </r>
  </si>
  <si>
    <r>
      <t>Allowable  Vertical Tensile Strain ( ɛ</t>
    </r>
    <r>
      <rPr>
        <b/>
        <vertAlign val="subscript"/>
        <sz val="11"/>
        <color theme="1"/>
        <rFont val="Times New Roman"/>
        <family val="1"/>
      </rPr>
      <t xml:space="preserve">v </t>
    </r>
    <r>
      <rPr>
        <b/>
        <sz val="11"/>
        <color theme="1"/>
        <rFont val="Times New Roman"/>
        <family val="1"/>
      </rPr>
      <t xml:space="preserve">) </t>
    </r>
  </si>
  <si>
    <t>Va</t>
  </si>
  <si>
    <t>C</t>
  </si>
  <si>
    <t>M</t>
  </si>
  <si>
    <t>&gt;20 msa</t>
  </si>
  <si>
    <t>Center to center distance between Tyres</t>
  </si>
  <si>
    <t>Pavement Design</t>
  </si>
  <si>
    <t>&lt;20</t>
  </si>
  <si>
    <t>&gt;20</t>
  </si>
  <si>
    <t>Vbe</t>
  </si>
  <si>
    <t>Tensile strain @ bottom of 
bituminous layer</t>
  </si>
  <si>
    <t>Vertical compressive strain @ top of the subgrade</t>
  </si>
  <si>
    <t>Allowable</t>
  </si>
  <si>
    <t>Actual by IITPAVE</t>
  </si>
  <si>
    <t>IITPAVE OUTPUTS</t>
  </si>
  <si>
    <t>NO</t>
  </si>
  <si>
    <t>If you don't have axle load spectrum</t>
  </si>
  <si>
    <t>Do you have axle load spectrum</t>
  </si>
  <si>
    <t>YES</t>
  </si>
  <si>
    <t>If yes, enter Vehicle damage factor</t>
  </si>
  <si>
    <t>Type of Base layer</t>
  </si>
  <si>
    <t>New Plate</t>
  </si>
  <si>
    <t>Effective CBR</t>
  </si>
  <si>
    <t>Average Annual Pavement 
Temperature °C</t>
  </si>
  <si>
    <t>Average Annual Pavement Temperature °C</t>
  </si>
  <si>
    <t>Type of Terrain</t>
  </si>
  <si>
    <t>IITPAVE OUTPUT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</si>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</sst>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\6&quot;%&quot;"/>
    <numFmt numFmtId="165" formatCode="0&quot;%&quot;"/>
    <numFmt numFmtId="166" formatCode="0\ &quot;Years&quot;"/>
    <numFmt numFmtId="167" formatCode="0.0\ &quot;msa&quot;"/>
    <numFmt numFmtId="168" formatCode="0\ &quot;°C&quot;"/>
    <numFmt numFmtId="169" formatCode="0.00\ &quot;MPa&quot;"/>
    <numFmt numFmtId="170" formatCode="0\ &quot;%&quot;"/>
    <numFmt numFmtId="171" formatCode="0.000000"/>
    <numFmt numFmtId="172" formatCode="0\ &quot;mm&quot;"/>
    <numFmt numFmtId="173" formatCode="0\ &quot;N&quot;"/>
    <numFmt numFmtId="174" formatCode="#&quot;%&quot;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ato"/>
      <family val="2"/>
    </font>
    <font>
      <b/>
      <sz val="14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1"/>
      <name val="Lato"/>
      <family val="2"/>
    </font>
    <font>
      <b/>
      <sz val="16"/>
      <name val="Lato"/>
      <family val="2"/>
    </font>
    <font>
      <b/>
      <sz val="11"/>
      <color theme="1"/>
      <name val="Lato"/>
      <family val="2"/>
    </font>
    <font>
      <b/>
      <vertAlign val="subscript"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Lato"/>
      <family val="2"/>
    </font>
    <font>
      <b/>
      <sz val="12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2"/>
      <color theme="1"/>
      <name val="Lato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3">
    <xf numFmtId="0" fontId="0" fillId="0" borderId="0"/>
    <xf numFmtId="0" fontId="10" fillId="0" borderId="0"/>
    <xf numFmtId="0" fontId="16" fillId="0" borderId="0" applyNumberForma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2" xfId="0" applyFill="1" applyBorder="1"/>
    <xf numFmtId="0" fontId="0" fillId="6" borderId="0" xfId="0" applyFill="1"/>
    <xf numFmtId="0" fontId="1" fillId="6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0" xfId="0" applyFill="1"/>
    <xf numFmtId="0" fontId="1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5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1" fillId="7" borderId="15" xfId="0" applyFont="1" applyFill="1" applyBorder="1" applyAlignment="1">
      <alignment horizontal="center" vertical="center" wrapText="1"/>
    </xf>
    <xf numFmtId="0" fontId="0" fillId="7" borderId="15" xfId="0" applyFill="1" applyBorder="1" applyAlignment="1">
      <alignment horizontal="left" vertical="center"/>
    </xf>
    <xf numFmtId="0" fontId="2" fillId="7" borderId="7" xfId="0" applyFont="1" applyFill="1" applyBorder="1"/>
    <xf numFmtId="0" fontId="2" fillId="7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8" borderId="20" xfId="0" applyFont="1" applyFill="1" applyBorder="1" applyAlignment="1">
      <alignment horizontal="center" wrapText="1"/>
    </xf>
    <xf numFmtId="0" fontId="12" fillId="8" borderId="15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15" xfId="1" applyFont="1" applyFill="1" applyBorder="1" applyAlignment="1">
      <alignment horizontal="center"/>
    </xf>
    <xf numFmtId="0" fontId="12" fillId="8" borderId="23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/>
    </xf>
    <xf numFmtId="0" fontId="12" fillId="8" borderId="20" xfId="0" applyFont="1" applyFill="1" applyBorder="1" applyAlignment="1">
      <alignment horizontal="center"/>
    </xf>
    <xf numFmtId="0" fontId="12" fillId="8" borderId="28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12" fillId="8" borderId="28" xfId="1" applyFont="1" applyFill="1" applyBorder="1" applyAlignment="1">
      <alignment horizontal="center"/>
    </xf>
    <xf numFmtId="0" fontId="4" fillId="0" borderId="29" xfId="0" applyFont="1" applyBorder="1"/>
    <xf numFmtId="0" fontId="4" fillId="0" borderId="29" xfId="0" applyFont="1" applyBorder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12" fillId="8" borderId="30" xfId="0" applyFont="1" applyFill="1" applyBorder="1" applyAlignment="1">
      <alignment horizontal="center"/>
    </xf>
    <xf numFmtId="0" fontId="12" fillId="8" borderId="20" xfId="1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165" fontId="0" fillId="6" borderId="12" xfId="0" applyNumberFormat="1" applyFill="1" applyBorder="1" applyAlignment="1">
      <alignment horizontal="center" vertical="center"/>
    </xf>
    <xf numFmtId="165" fontId="0" fillId="6" borderId="13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vertical="center" wrapText="1"/>
    </xf>
    <xf numFmtId="0" fontId="4" fillId="2" borderId="16" xfId="0" applyFont="1" applyFill="1" applyBorder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vertical="center"/>
    </xf>
    <xf numFmtId="0" fontId="4" fillId="2" borderId="33" xfId="0" applyFont="1" applyFill="1" applyBorder="1" applyAlignment="1">
      <alignment horizontal="left" vertical="center"/>
    </xf>
    <xf numFmtId="2" fontId="4" fillId="2" borderId="16" xfId="0" applyNumberFormat="1" applyFont="1" applyFill="1" applyBorder="1" applyAlignment="1">
      <alignment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172" fontId="4" fillId="2" borderId="16" xfId="0" applyNumberFormat="1" applyFont="1" applyFill="1" applyBorder="1" applyAlignment="1">
      <alignment horizontal="center" vertical="center"/>
    </xf>
    <xf numFmtId="173" fontId="4" fillId="2" borderId="16" xfId="0" applyNumberFormat="1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left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4" fillId="9" borderId="16" xfId="0" applyFont="1" applyFill="1" applyBorder="1" applyAlignment="1">
      <alignment horizontal="left" vertical="center"/>
    </xf>
    <xf numFmtId="0" fontId="4" fillId="9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11" borderId="0" xfId="0" applyFill="1"/>
    <xf numFmtId="0" fontId="20" fillId="11" borderId="0" xfId="2" applyFont="1" applyFill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169" fontId="4" fillId="2" borderId="16" xfId="0" applyNumberFormat="1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 wrapText="1"/>
    </xf>
    <xf numFmtId="0" fontId="21" fillId="2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9" fillId="9" borderId="32" xfId="0" applyFont="1" applyFill="1" applyBorder="1" applyAlignment="1">
      <alignment horizontal="center" vertical="center" wrapText="1"/>
    </xf>
    <xf numFmtId="0" fontId="19" fillId="9" borderId="17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left" vertical="center"/>
    </xf>
    <xf numFmtId="165" fontId="4" fillId="2" borderId="16" xfId="0" applyNumberFormat="1" applyFont="1" applyFill="1" applyBorder="1" applyAlignment="1" applyProtection="1">
      <alignment horizontal="left" vertical="center"/>
      <protection hidden="1"/>
    </xf>
    <xf numFmtId="164" fontId="4" fillId="2" borderId="16" xfId="0" applyNumberFormat="1" applyFont="1" applyFill="1" applyBorder="1" applyAlignment="1">
      <alignment horizontal="left" vertical="center"/>
    </xf>
    <xf numFmtId="166" fontId="4" fillId="2" borderId="16" xfId="0" applyNumberFormat="1" applyFont="1" applyFill="1" applyBorder="1" applyAlignment="1">
      <alignment horizontal="left" vertical="center"/>
    </xf>
    <xf numFmtId="167" fontId="4" fillId="2" borderId="16" xfId="0" applyNumberFormat="1" applyFont="1" applyFill="1" applyBorder="1" applyAlignment="1">
      <alignment horizontal="left" vertical="center"/>
    </xf>
    <xf numFmtId="2" fontId="4" fillId="2" borderId="16" xfId="0" applyNumberFormat="1" applyFont="1" applyFill="1" applyBorder="1" applyAlignment="1">
      <alignment horizontal="left" vertical="center"/>
    </xf>
    <xf numFmtId="168" fontId="4" fillId="2" borderId="16" xfId="0" applyNumberFormat="1" applyFont="1" applyFill="1" applyBorder="1" applyAlignment="1">
      <alignment horizontal="left" vertical="center"/>
    </xf>
    <xf numFmtId="171" fontId="4" fillId="2" borderId="16" xfId="0" applyNumberFormat="1" applyFont="1" applyFill="1" applyBorder="1" applyAlignment="1">
      <alignment horizontal="center"/>
    </xf>
    <xf numFmtId="169" fontId="4" fillId="2" borderId="16" xfId="0" applyNumberFormat="1" applyFont="1" applyFill="1" applyBorder="1" applyAlignment="1">
      <alignment horizontal="center" vertical="center"/>
    </xf>
    <xf numFmtId="170" fontId="4" fillId="2" borderId="16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12" fillId="8" borderId="18" xfId="0" applyFont="1" applyFill="1" applyBorder="1" applyAlignment="1">
      <alignment horizontal="center" wrapText="1"/>
    </xf>
    <xf numFmtId="0" fontId="12" fillId="8" borderId="19" xfId="0" applyFont="1" applyFill="1" applyBorder="1" applyAlignment="1">
      <alignment horizontal="center" wrapText="1"/>
    </xf>
    <xf numFmtId="0" fontId="12" fillId="8" borderId="20" xfId="0" applyFont="1" applyFill="1" applyBorder="1" applyAlignment="1">
      <alignment horizontal="center" wrapText="1"/>
    </xf>
    <xf numFmtId="0" fontId="13" fillId="8" borderId="8" xfId="0" applyFont="1" applyFill="1" applyBorder="1" applyAlignment="1">
      <alignment horizontal="center"/>
    </xf>
    <xf numFmtId="0" fontId="13" fillId="8" borderId="9" xfId="0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4" borderId="34" xfId="0" applyFont="1" applyFill="1" applyBorder="1" applyAlignment="1">
      <alignment horizontal="center" vertical="center"/>
    </xf>
    <xf numFmtId="0" fontId="0" fillId="0" borderId="34" xfId="0" applyBorder="1"/>
    <xf numFmtId="0" fontId="4" fillId="2" borderId="34" xfId="0" applyFont="1" applyFill="1" applyBorder="1" applyAlignment="1">
      <alignment horizontal="left" vertical="center"/>
    </xf>
    <xf numFmtId="0" fontId="4" fillId="4" borderId="34" xfId="0" applyFont="1" applyFill="1" applyBorder="1" applyAlignment="1">
      <alignment horizontal="center" vertical="center" wrapText="1"/>
    </xf>
    <xf numFmtId="0" fontId="1" fillId="0" borderId="34" xfId="0" applyFont="1" applyBorder="1"/>
    <xf numFmtId="165" fontId="4" fillId="9" borderId="34" xfId="0" applyNumberFormat="1" applyFont="1" applyFill="1" applyBorder="1" applyAlignment="1" applyProtection="1">
      <alignment horizontal="center" vertical="center"/>
      <protection hidden="1"/>
    </xf>
    <xf numFmtId="0" fontId="0" fillId="0" borderId="34" xfId="0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174" fontId="4" fillId="4" borderId="34" xfId="0" applyNumberFormat="1" applyFont="1" applyFill="1" applyBorder="1" applyAlignment="1">
      <alignment horizontal="center" vertical="center"/>
    </xf>
    <xf numFmtId="166" fontId="4" fillId="4" borderId="34" xfId="0" applyNumberFormat="1" applyFont="1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4" fillId="0" borderId="34" xfId="0" applyFont="1" applyBorder="1" applyAlignment="1">
      <alignment vertical="center" wrapText="1"/>
    </xf>
    <xf numFmtId="0" fontId="4" fillId="9" borderId="3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0" borderId="34" xfId="0" applyFont="1" applyBorder="1"/>
    <xf numFmtId="167" fontId="4" fillId="3" borderId="34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left" vertical="center" wrapText="1"/>
    </xf>
    <xf numFmtId="168" fontId="4" fillId="4" borderId="34" xfId="0" applyNumberFormat="1" applyFont="1" applyFill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left" vertical="center"/>
    </xf>
    <xf numFmtId="0" fontId="4" fillId="4" borderId="34" xfId="0" applyFont="1" applyFill="1" applyBorder="1" applyAlignment="1">
      <alignment horizontal="center" vertical="center"/>
    </xf>
    <xf numFmtId="0" fontId="12" fillId="10" borderId="34" xfId="0" applyFont="1" applyFill="1" applyBorder="1" applyAlignment="1">
      <alignment horizontal="center" vertical="center" wrapText="1"/>
    </xf>
    <xf numFmtId="0" fontId="4" fillId="10" borderId="34" xfId="0" applyFont="1" applyFill="1" applyBorder="1" applyAlignment="1">
      <alignment horizontal="center" vertical="center"/>
    </xf>
    <xf numFmtId="169" fontId="4" fillId="0" borderId="34" xfId="0" applyNumberFormat="1" applyFont="1" applyBorder="1" applyAlignment="1">
      <alignment horizontal="center" vertical="center"/>
    </xf>
    <xf numFmtId="0" fontId="9" fillId="10" borderId="34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left" vertical="center"/>
    </xf>
    <xf numFmtId="0" fontId="4" fillId="4" borderId="34" xfId="0" applyFont="1" applyFill="1" applyBorder="1" applyAlignment="1">
      <alignment horizontal="center"/>
    </xf>
    <xf numFmtId="170" fontId="4" fillId="0" borderId="34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left" vertical="center" wrapText="1"/>
    </xf>
    <xf numFmtId="171" fontId="4" fillId="4" borderId="34" xfId="0" applyNumberFormat="1" applyFont="1" applyFill="1" applyBorder="1" applyAlignment="1">
      <alignment horizontal="center"/>
    </xf>
    <xf numFmtId="0" fontId="0" fillId="0" borderId="34" xfId="0" applyBorder="1" applyAlignment="1">
      <alignment vertical="center" wrapText="1"/>
    </xf>
    <xf numFmtId="172" fontId="0" fillId="4" borderId="34" xfId="0" applyNumberFormat="1" applyFill="1" applyBorder="1" applyAlignment="1">
      <alignment vertical="center"/>
    </xf>
    <xf numFmtId="0" fontId="0" fillId="0" borderId="34" xfId="0" applyBorder="1" applyAlignment="1">
      <alignment vertical="center"/>
    </xf>
    <xf numFmtId="173" fontId="0" fillId="4" borderId="34" xfId="0" applyNumberFormat="1" applyFill="1" applyBorder="1" applyAlignment="1">
      <alignment vertical="center"/>
    </xf>
    <xf numFmtId="0" fontId="11" fillId="9" borderId="34" xfId="0" applyFont="1" applyFill="1" applyBorder="1" applyAlignment="1">
      <alignment horizontal="center" vertical="center"/>
    </xf>
    <xf numFmtId="0" fontId="0" fillId="5" borderId="34" xfId="0" applyFill="1" applyBorder="1" applyAlignment="1">
      <alignment vertical="center"/>
    </xf>
    <xf numFmtId="0" fontId="19" fillId="9" borderId="34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2" fontId="0" fillId="5" borderId="34" xfId="0" applyNumberFormat="1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4" borderId="35" xfId="0" applyFill="1" applyBorder="1" applyAlignment="1">
      <alignment vertical="center"/>
    </xf>
    <xf numFmtId="0" fontId="4" fillId="0" borderId="0" xfId="0" applyFont="1" applyBorder="1"/>
    <xf numFmtId="0" fontId="0" fillId="0" borderId="0" xfId="0" applyBorder="1"/>
  </cellXfs>
  <cellStyles count="3">
    <cellStyle name="Hyperlink" xfId="2" builtinId="8"/>
    <cellStyle name="Normal" xfId="0" builtinId="0"/>
    <cellStyle name="Normal 4" xfId="1" xr:uid="{9D7F839D-E4C3-4173-AA70-02E370F693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IIT%20P/IITPAVE_EX.jar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1036807</xdr:colOff>
      <xdr:row>10</xdr:row>
      <xdr:rowOff>66943</xdr:rowOff>
    </xdr:from>
    <xdr:ext cx="2412840" cy="2775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BC439B-865A-52C0-1B81-16C2DEC93E78}"/>
                </a:ext>
              </a:extLst>
            </xdr:cNvPr>
            <xdr:cNvSpPr txBox="1"/>
          </xdr:nvSpPr>
          <xdr:spPr>
            <a:xfrm>
              <a:off x="6039113" y="3885908"/>
              <a:ext cx="2412840" cy="277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𝑴</m:t>
                      </m:r>
                    </m:e>
                    <m:sub>
                      <m: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𝑹</m:t>
                      </m:r>
                      <m: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_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𝑮𝑹𝑨𝑵</m:t>
                      </m:r>
                    </m:sub>
                  </m:sSub>
                </m:oMath>
              </a14:m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𝒉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𝟒𝟓</m:t>
                      </m:r>
                    </m:sup>
                  </m:sSup>
                </m:oMath>
              </a14:m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</a:t>
              </a:r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𝑴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𝑹𝑺𝑼𝑷𝑷𝑶𝑹𝑻</m:t>
                      </m:r>
                    </m:sub>
                  </m:sSub>
                </m:oMath>
              </a14:m>
              <a:r>
                <a:rPr lang="en-IN" sz="1100" b="1"/>
                <a:t> 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BC439B-865A-52C0-1B81-16C2DEC93E78}"/>
                </a:ext>
              </a:extLst>
            </xdr:cNvPr>
            <xdr:cNvSpPr txBox="1"/>
          </xdr:nvSpPr>
          <xdr:spPr>
            <a:xfrm>
              <a:off x="6039113" y="3885908"/>
              <a:ext cx="2412840" cy="277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_(𝑹_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𝑮𝑹𝑨𝑵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𝟎.𝟐(𝒉)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𝟎.𝟒𝟓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</a:t>
              </a: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𝑹𝑺𝑼𝑷𝑷𝑶𝑹𝑻</a:t>
              </a:r>
              <a:r>
                <a:rPr lang="en-IN" sz="1100" b="1"/>
                <a:t> 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7</xdr:row>
      <xdr:rowOff>91440</xdr:rowOff>
    </xdr:from>
    <xdr:to>
      <xdr:col>9</xdr:col>
      <xdr:colOff>761771</xdr:colOff>
      <xdr:row>14</xdr:row>
      <xdr:rowOff>190698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1400FF-CFFF-4812-8A73-69193886E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880" y="2446020"/>
          <a:ext cx="6408191" cy="2286198"/>
        </a:xfrm>
        <a:prstGeom prst="rect">
          <a:avLst/>
        </a:prstGeom>
      </xdr:spPr>
    </xdr:pic>
    <xdr:clientData/>
  </xdr:twoCellAnchor>
  <xdr:twoCellAnchor>
    <xdr:from>
      <xdr:col>8</xdr:col>
      <xdr:colOff>669439</xdr:colOff>
      <xdr:row>10</xdr:row>
      <xdr:rowOff>274320</xdr:rowOff>
    </xdr:from>
    <xdr:to>
      <xdr:col>9</xdr:col>
      <xdr:colOff>81556</xdr:colOff>
      <xdr:row>11</xdr:row>
      <xdr:rowOff>91440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1762C74-2799-4F60-B852-555C934078F8}"/>
            </a:ext>
          </a:extLst>
        </xdr:cNvPr>
        <xdr:cNvSpPr/>
      </xdr:nvSpPr>
      <xdr:spPr>
        <a:xfrm>
          <a:off x="11566039" y="3566160"/>
          <a:ext cx="783717" cy="12954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1870859</xdr:colOff>
      <xdr:row>13</xdr:row>
      <xdr:rowOff>302260</xdr:rowOff>
    </xdr:from>
    <xdr:to>
      <xdr:col>8</xdr:col>
      <xdr:colOff>780056</xdr:colOff>
      <xdr:row>14</xdr:row>
      <xdr:rowOff>119380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F4B87F3-9959-4B11-B928-1C6D85B1BA2A}"/>
            </a:ext>
          </a:extLst>
        </xdr:cNvPr>
        <xdr:cNvSpPr/>
      </xdr:nvSpPr>
      <xdr:spPr>
        <a:xfrm>
          <a:off x="10892939" y="4531360"/>
          <a:ext cx="783717" cy="12954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388620</xdr:colOff>
      <xdr:row>0</xdr:row>
      <xdr:rowOff>228600</xdr:rowOff>
    </xdr:from>
    <xdr:to>
      <xdr:col>4</xdr:col>
      <xdr:colOff>396240</xdr:colOff>
      <xdr:row>2</xdr:row>
      <xdr:rowOff>38100</xdr:rowOff>
    </xdr:to>
    <xdr:sp macro="" textlink="">
      <xdr:nvSpPr>
        <xdr:cNvPr id="11" name="Rectangle: Rounded Corner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D4E40D-0C2D-8992-AAEC-AC7B48271FB5}"/>
            </a:ext>
          </a:extLst>
        </xdr:cNvPr>
        <xdr:cNvSpPr/>
      </xdr:nvSpPr>
      <xdr:spPr>
        <a:xfrm>
          <a:off x="3657600" y="228600"/>
          <a:ext cx="1882140" cy="43434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RUN IITPAVE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9D81-B20A-4331-82E2-008CD2A1B206}">
  <sheetPr codeName="Sheet1">
    <pageSetUpPr fitToPage="1"/>
  </sheetPr>
  <dimension ref="A1:E11"/>
  <sheetViews>
    <sheetView showGridLines="0" view="pageBreakPreview" zoomScaleNormal="110" zoomScaleSheetLayoutView="100" workbookViewId="0">
      <selection activeCell="A5" sqref="A5"/>
    </sheetView>
  </sheetViews>
  <sheetFormatPr defaultRowHeight="14.4" x14ac:dyDescent="0.3"/>
  <cols>
    <col min="1" max="1" width="43.88671875" customWidth="1"/>
    <col min="2" max="2" width="12.109375" customWidth="1"/>
    <col min="3" max="3" width="35.88671875" style="3" customWidth="1"/>
    <col min="4" max="4" width="30.77734375" customWidth="1"/>
    <col min="5" max="5" width="15.77734375" customWidth="1"/>
    <col min="6" max="6" width="21" customWidth="1"/>
  </cols>
  <sheetData>
    <row r="1" spans="1:5" ht="29.4" customHeight="1" x14ac:dyDescent="0.3">
      <c r="A1" s="149" t="s">
        <v>36</v>
      </c>
      <c r="B1" s="149"/>
      <c r="C1" s="149"/>
      <c r="D1" s="149"/>
      <c r="E1" s="149"/>
    </row>
    <row r="2" spans="1:5" ht="25.2" customHeight="1" x14ac:dyDescent="0.3">
      <c r="A2" s="150" t="s">
        <v>0</v>
      </c>
      <c r="B2" s="150" t="s">
        <v>21</v>
      </c>
      <c r="C2" s="151">
        <v>750</v>
      </c>
      <c r="D2" s="152"/>
      <c r="E2" s="152"/>
    </row>
    <row r="3" spans="1:5" ht="28.2" customHeight="1" x14ac:dyDescent="0.3">
      <c r="A3" s="153" t="s">
        <v>8</v>
      </c>
      <c r="B3" s="153"/>
      <c r="C3" s="154" t="s">
        <v>12</v>
      </c>
      <c r="D3" s="152"/>
      <c r="E3" s="155"/>
    </row>
    <row r="4" spans="1:5" ht="27" customHeight="1" x14ac:dyDescent="0.3">
      <c r="A4" s="150" t="s">
        <v>14</v>
      </c>
      <c r="B4" s="150" t="s">
        <v>22</v>
      </c>
      <c r="C4" s="156">
        <v>50</v>
      </c>
      <c r="D4" s="157" t="s">
        <v>142</v>
      </c>
      <c r="E4" s="157" t="s">
        <v>140</v>
      </c>
    </row>
    <row r="5" spans="1:5" ht="35.4" customHeight="1" x14ac:dyDescent="0.3">
      <c r="A5" s="158" t="s">
        <v>20</v>
      </c>
      <c r="B5" s="150" t="s">
        <v>1</v>
      </c>
      <c r="C5" s="159">
        <v>5</v>
      </c>
      <c r="D5" s="157" t="s">
        <v>144</v>
      </c>
      <c r="E5" s="157">
        <v>12.5</v>
      </c>
    </row>
    <row r="6" spans="1:5" ht="22.8" customHeight="1" x14ac:dyDescent="0.3">
      <c r="A6" s="150" t="s">
        <v>2</v>
      </c>
      <c r="B6" s="150" t="s">
        <v>3</v>
      </c>
      <c r="C6" s="160">
        <v>3</v>
      </c>
      <c r="D6" s="161" t="s">
        <v>141</v>
      </c>
      <c r="E6" s="161"/>
    </row>
    <row r="7" spans="1:5" ht="36" customHeight="1" x14ac:dyDescent="0.3">
      <c r="A7" s="162" t="s">
        <v>33</v>
      </c>
      <c r="B7" s="150" t="s">
        <v>32</v>
      </c>
      <c r="C7" s="163">
        <f>C2*(1+(C5/100))^C6</f>
        <v>868.21875000000011</v>
      </c>
      <c r="D7" s="164" t="s">
        <v>31</v>
      </c>
      <c r="E7" s="165" t="s">
        <v>25</v>
      </c>
    </row>
    <row r="8" spans="1:5" ht="27.6" customHeight="1" x14ac:dyDescent="0.3">
      <c r="A8" s="162" t="s">
        <v>5</v>
      </c>
      <c r="B8" s="150" t="s">
        <v>6</v>
      </c>
      <c r="C8" s="163">
        <f>IF(E4="YES", E5, E8)</f>
        <v>3.9</v>
      </c>
      <c r="D8" s="164" t="s">
        <v>5</v>
      </c>
      <c r="E8" s="164">
        <f>VLOOKUP(E7,Data!D8:E9,2,FALSE)</f>
        <v>3.9</v>
      </c>
    </row>
    <row r="9" spans="1:5" ht="27" customHeight="1" x14ac:dyDescent="0.3">
      <c r="A9" s="166" t="s">
        <v>97</v>
      </c>
      <c r="B9" s="150"/>
      <c r="C9" s="151" t="s">
        <v>114</v>
      </c>
      <c r="D9" s="152"/>
      <c r="E9" s="152"/>
    </row>
    <row r="10" spans="1:5" ht="31.2" customHeight="1" x14ac:dyDescent="0.3">
      <c r="A10" s="150" t="s">
        <v>4</v>
      </c>
      <c r="B10" s="150" t="s">
        <v>7</v>
      </c>
      <c r="C10" s="160">
        <v>20</v>
      </c>
      <c r="D10" s="152"/>
      <c r="E10" s="152"/>
    </row>
    <row r="11" spans="1:5" ht="27.6" x14ac:dyDescent="0.3">
      <c r="A11" s="158" t="s">
        <v>34</v>
      </c>
      <c r="B11" s="150" t="s">
        <v>35</v>
      </c>
      <c r="C11" s="167">
        <f>(365*(((1+(C5/100))^C10)-1)*C7*C4*E8)/(C5*1000000)</f>
        <v>20.433261592867524</v>
      </c>
      <c r="D11" s="152"/>
      <c r="E11" s="152"/>
    </row>
  </sheetData>
  <dataConsolidate link="1"/>
  <mergeCells count="2">
    <mergeCell ref="D6:E6"/>
    <mergeCell ref="A1:E1"/>
  </mergeCells>
  <pageMargins left="0.7" right="0.7" top="0.75" bottom="0.75" header="0.3" footer="0.3"/>
  <pageSetup paperSize="9" scale="94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699" yWindow="525" count="4">
        <x14:dataValidation type="list" allowBlank="1" showInputMessage="1" showErrorMessage="1" xr:uid="{A6C8984C-D27C-40D6-94B8-A9013D9EEE6C}">
          <x14:formula1>
            <xm:f>Data!$A$3:$A$9</xm:f>
          </x14:formula1>
          <xm:sqref>C3</xm:sqref>
        </x14:dataValidation>
        <x14:dataValidation type="list" allowBlank="1" showInputMessage="1" showErrorMessage="1" xr:uid="{BD050F65-0A13-465F-95C7-D875C566DB68}">
          <x14:formula1>
            <xm:f>Data!$D$8:$D$9</xm:f>
          </x14:formula1>
          <xm:sqref>E7</xm:sqref>
        </x14:dataValidation>
        <x14:dataValidation type="list" allowBlank="1" showInputMessage="1" showErrorMessage="1" xr:uid="{6215AB39-87E2-4859-B40D-900AEFAF2008}">
          <x14:formula1>
            <xm:f>Data!$D$11:$D$16</xm:f>
          </x14:formula1>
          <xm:sqref>C9</xm:sqref>
        </x14:dataValidation>
        <x14:dataValidation type="list" allowBlank="1" showInputMessage="1" showErrorMessage="1" xr:uid="{E6C530B1-F034-4A42-89B8-7D3AF64E7C74}">
          <x14:formula1>
            <xm:f>Data!$A$11:$A$12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6E1A-216A-4174-8C15-F07334F27725}">
  <sheetPr codeName="Sheet2">
    <pageSetUpPr fitToPage="1"/>
  </sheetPr>
  <dimension ref="A1:I21"/>
  <sheetViews>
    <sheetView showGridLines="0" view="pageBreakPreview" zoomScale="85" zoomScaleNormal="100" zoomScaleSheetLayoutView="85" workbookViewId="0">
      <selection activeCell="H13" sqref="H13"/>
    </sheetView>
  </sheetViews>
  <sheetFormatPr defaultRowHeight="13.8" x14ac:dyDescent="0.25"/>
  <cols>
    <col min="1" max="1" width="41.33203125" style="59" customWidth="1"/>
    <col min="2" max="2" width="15.77734375" style="60" customWidth="1"/>
    <col min="3" max="6" width="15.77734375" style="32" customWidth="1"/>
    <col min="7" max="7" width="26.5546875" style="32" customWidth="1"/>
    <col min="8" max="8" width="8.88671875" style="32" customWidth="1"/>
    <col min="9" max="9" width="18.109375" style="32" customWidth="1"/>
    <col min="10" max="16384" width="8.88671875" style="32"/>
  </cols>
  <sheetData>
    <row r="1" spans="1:9" ht="32.4" customHeight="1" x14ac:dyDescent="0.25">
      <c r="A1" s="149" t="s">
        <v>131</v>
      </c>
      <c r="B1" s="149"/>
      <c r="C1" s="149"/>
      <c r="D1" s="149"/>
      <c r="E1" s="149"/>
      <c r="F1" s="149"/>
      <c r="G1" s="149"/>
      <c r="H1" s="149"/>
      <c r="I1" s="149"/>
    </row>
    <row r="2" spans="1:9" ht="31.2" customHeight="1" x14ac:dyDescent="0.25">
      <c r="A2" s="168" t="s">
        <v>148</v>
      </c>
      <c r="B2" s="169">
        <v>25</v>
      </c>
      <c r="C2" s="169"/>
      <c r="D2" s="169"/>
      <c r="E2" s="169"/>
      <c r="F2" s="169"/>
      <c r="G2" s="170" t="str">
        <f>Plate!H2</f>
        <v>Plate6</v>
      </c>
      <c r="H2" s="170"/>
      <c r="I2" s="171" t="s">
        <v>146</v>
      </c>
    </row>
    <row r="3" spans="1:9" ht="27.6" customHeight="1" x14ac:dyDescent="0.25">
      <c r="A3" s="172" t="s">
        <v>147</v>
      </c>
      <c r="B3" s="173">
        <v>10</v>
      </c>
      <c r="C3" s="173"/>
      <c r="D3" s="173"/>
      <c r="E3" s="173"/>
      <c r="F3" s="173"/>
      <c r="G3" s="174" t="s">
        <v>72</v>
      </c>
      <c r="H3" s="175">
        <f>VLOOKUP(Plate!J2,Plate!A4:G51,3,FALSE)</f>
        <v>530</v>
      </c>
      <c r="I3" s="175">
        <v>540</v>
      </c>
    </row>
    <row r="4" spans="1:9" ht="34.200000000000003" customHeight="1" x14ac:dyDescent="0.25">
      <c r="A4" s="158" t="s">
        <v>64</v>
      </c>
      <c r="B4" s="176">
        <f>IF(B3&gt;5,17.6*(B3)^0.64,(10*B3))</f>
        <v>76.826786474269227</v>
      </c>
      <c r="C4" s="176"/>
      <c r="D4" s="176"/>
      <c r="E4" s="176"/>
      <c r="F4" s="176"/>
      <c r="G4" s="177" t="s">
        <v>77</v>
      </c>
      <c r="H4" s="175">
        <f>VLOOKUP(Plate!J2,Plate!A4:G51,4,FALSE)</f>
        <v>30</v>
      </c>
      <c r="I4" s="175">
        <v>30</v>
      </c>
    </row>
    <row r="5" spans="1:9" ht="25.2" customHeight="1" x14ac:dyDescent="0.25">
      <c r="A5" s="172" t="s">
        <v>65</v>
      </c>
      <c r="B5" s="178" t="s">
        <v>59</v>
      </c>
      <c r="C5" s="178"/>
      <c r="D5" s="178"/>
      <c r="E5" s="178"/>
      <c r="F5" s="178"/>
      <c r="G5" s="177" t="s">
        <v>78</v>
      </c>
      <c r="H5" s="175">
        <f>VLOOKUP(Plate!J2,Plate!A4:G51,5,FALSE)</f>
        <v>50</v>
      </c>
      <c r="I5" s="175">
        <v>50</v>
      </c>
    </row>
    <row r="6" spans="1:9" ht="34.799999999999997" customHeight="1" x14ac:dyDescent="0.25">
      <c r="A6" s="158" t="s">
        <v>69</v>
      </c>
      <c r="B6" s="176">
        <f>VLOOKUP(B5&amp;B2,Data!Q3:R23,2,FALSE)</f>
        <v>3000</v>
      </c>
      <c r="C6" s="176"/>
      <c r="D6" s="176"/>
      <c r="E6" s="176"/>
      <c r="F6" s="176"/>
      <c r="G6" s="177" t="s">
        <v>75</v>
      </c>
      <c r="H6" s="175">
        <f>VLOOKUP(Plate!J2,Plate!A4:G51,6,FALSE)</f>
        <v>250</v>
      </c>
      <c r="I6" s="175">
        <v>250</v>
      </c>
    </row>
    <row r="7" spans="1:9" ht="30.6" customHeight="1" x14ac:dyDescent="0.25">
      <c r="A7" s="150" t="s">
        <v>145</v>
      </c>
      <c r="B7" s="179" t="s">
        <v>95</v>
      </c>
      <c r="C7" s="179"/>
      <c r="D7" s="179"/>
      <c r="E7" s="179"/>
      <c r="F7" s="179"/>
      <c r="G7" s="177" t="s">
        <v>76</v>
      </c>
      <c r="H7" s="175">
        <f>VLOOKUP(Plate!J2,Plate!A4:G51,7,FALSE)</f>
        <v>200</v>
      </c>
      <c r="I7" s="175">
        <v>200</v>
      </c>
    </row>
    <row r="8" spans="1:9" ht="33" customHeight="1" x14ac:dyDescent="0.25">
      <c r="A8" s="158" t="s">
        <v>86</v>
      </c>
      <c r="B8" s="180" t="s">
        <v>72</v>
      </c>
      <c r="C8" s="181" t="s">
        <v>77</v>
      </c>
      <c r="D8" s="181" t="s">
        <v>78</v>
      </c>
      <c r="E8" s="181" t="s">
        <v>75</v>
      </c>
      <c r="F8" s="181" t="s">
        <v>76</v>
      </c>
      <c r="G8" s="199"/>
      <c r="H8" s="199"/>
      <c r="I8" s="199"/>
    </row>
    <row r="9" spans="1:9" ht="19.8" customHeight="1" x14ac:dyDescent="0.25">
      <c r="A9" s="182" t="str">
        <f>VLOOKUP(Plate!J2,Plate!A4:H51,8,FALSE)</f>
        <v>Plate6</v>
      </c>
      <c r="B9" s="151">
        <f>SUM(C9,D9,E9,F9)</f>
        <v>560</v>
      </c>
      <c r="C9" s="183">
        <v>40</v>
      </c>
      <c r="D9" s="183">
        <v>70</v>
      </c>
      <c r="E9" s="183">
        <v>250</v>
      </c>
      <c r="F9" s="183">
        <v>200</v>
      </c>
      <c r="G9" s="199"/>
      <c r="H9" s="199"/>
      <c r="I9" s="199"/>
    </row>
    <row r="10" spans="1:9" ht="32.4" customHeight="1" x14ac:dyDescent="0.25">
      <c r="A10" s="158" t="s">
        <v>96</v>
      </c>
      <c r="B10" s="176">
        <f>IF(B3&lt;=5,10*B3,17.6*(B3)^0.64)</f>
        <v>76.826786474269227</v>
      </c>
      <c r="C10" s="176"/>
      <c r="D10" s="176"/>
      <c r="E10" s="176"/>
      <c r="F10" s="176"/>
      <c r="G10" s="199"/>
      <c r="H10" s="199"/>
      <c r="I10" s="199"/>
    </row>
    <row r="11" spans="1:9" ht="34.200000000000003" customHeight="1" x14ac:dyDescent="0.25">
      <c r="A11" s="158" t="s">
        <v>122</v>
      </c>
      <c r="B11" s="176">
        <f>0.2*((E9+F9)^0.45)*B10</f>
        <v>240.15315397293821</v>
      </c>
      <c r="C11" s="176"/>
      <c r="D11" s="176"/>
      <c r="E11" s="176"/>
      <c r="F11" s="176"/>
      <c r="G11" s="199"/>
      <c r="H11" s="199"/>
      <c r="I11" s="199"/>
    </row>
    <row r="12" spans="1:9" customFormat="1" ht="21" customHeight="1" x14ac:dyDescent="0.3">
      <c r="A12" s="150" t="s">
        <v>98</v>
      </c>
      <c r="B12" s="184">
        <f>VLOOKUP('Traffic Design'!C9,Data!D11:E16,2,FALSE)</f>
        <v>90</v>
      </c>
      <c r="C12" s="184"/>
      <c r="D12" s="184"/>
      <c r="E12" s="184"/>
      <c r="F12" s="184"/>
      <c r="G12" s="200"/>
      <c r="H12" s="200"/>
      <c r="I12" s="200"/>
    </row>
    <row r="13" spans="1:9" ht="32.4" customHeight="1" x14ac:dyDescent="0.25">
      <c r="A13" s="185" t="s">
        <v>125</v>
      </c>
      <c r="B13" s="186">
        <f>IF(B12=80,(4.1656*(10^(-14))/'Traffic Design'!C11)^(1/4.5337),(1.41*(10^(-14))/'Traffic Design'!C11)^(1/4.5337))</f>
        <v>4.5279965264182783E-4</v>
      </c>
      <c r="C13" s="186"/>
      <c r="D13" s="186"/>
      <c r="E13" s="186"/>
      <c r="F13" s="186"/>
      <c r="G13" s="199"/>
      <c r="H13" s="199"/>
      <c r="I13" s="199"/>
    </row>
    <row r="14" spans="1:9" ht="34.200000000000003" customHeight="1" x14ac:dyDescent="0.25">
      <c r="A14" s="185" t="s">
        <v>124</v>
      </c>
      <c r="B14" s="186">
        <f>IF(B12=80,IF('Traffic Design'!C11&lt;20,Data!V3,Data!W3),IF('Traffic Design'!C11&lt;20,Data!V4,Data!W4))</f>
        <v>2.2420397583313391E-4</v>
      </c>
      <c r="C14" s="186"/>
      <c r="D14" s="186"/>
      <c r="E14" s="186"/>
      <c r="F14" s="186"/>
      <c r="G14" s="199"/>
      <c r="H14" s="199"/>
      <c r="I14" s="199"/>
    </row>
    <row r="15" spans="1:9" ht="19.95" customHeight="1" x14ac:dyDescent="0.25"/>
    <row r="16" spans="1:9" ht="19.95" customHeight="1" x14ac:dyDescent="0.25"/>
    <row r="17" ht="19.95" customHeight="1" x14ac:dyDescent="0.25"/>
    <row r="18" ht="19.95" customHeight="1" x14ac:dyDescent="0.25"/>
    <row r="19" ht="19.95" customHeight="1" x14ac:dyDescent="0.25"/>
    <row r="20" ht="19.95" customHeight="1" x14ac:dyDescent="0.25"/>
    <row r="21" ht="19.95" customHeight="1" x14ac:dyDescent="0.25"/>
  </sheetData>
  <dataConsolidate link="1"/>
  <mergeCells count="13">
    <mergeCell ref="G2:H2"/>
    <mergeCell ref="A1:I1"/>
    <mergeCell ref="B2:F2"/>
    <mergeCell ref="B3:F3"/>
    <mergeCell ref="B4:F4"/>
    <mergeCell ref="B12:F12"/>
    <mergeCell ref="B13:F13"/>
    <mergeCell ref="B14:F14"/>
    <mergeCell ref="B5:F5"/>
    <mergeCell ref="B6:F6"/>
    <mergeCell ref="B7:F7"/>
    <mergeCell ref="B10:F10"/>
    <mergeCell ref="B11:F11"/>
  </mergeCells>
  <dataValidations count="1">
    <dataValidation type="list" allowBlank="1" showInputMessage="1" showErrorMessage="1" sqref="B2" xr:uid="{46F85B71-5F2C-4DD2-B420-DB53CC193034}">
      <formula1>"25,30,35,40"</formula1>
    </dataValidation>
  </dataValidations>
  <pageMargins left="0.7" right="0.7" top="0.75" bottom="0.75" header="0.3" footer="0.3"/>
  <pageSetup scale="70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B46A5D-25F6-4BE4-8925-5BD289008620}">
          <x14:formula1>
            <xm:f>Data!$N$3:$N$8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7A2E-DD6D-45AC-BF39-A59EEAFEFF38}">
  <sheetPr>
    <pageSetUpPr fitToPage="1"/>
  </sheetPr>
  <dimension ref="A1:J15"/>
  <sheetViews>
    <sheetView showGridLines="0" tabSelected="1" view="pageBreakPreview" zoomScale="85" zoomScaleNormal="85" zoomScaleSheetLayoutView="85" workbookViewId="0">
      <selection activeCell="E13" sqref="E13"/>
    </sheetView>
  </sheetViews>
  <sheetFormatPr defaultRowHeight="14.4" x14ac:dyDescent="0.3"/>
  <cols>
    <col min="1" max="1" width="33.6640625" customWidth="1"/>
    <col min="2" max="2" width="14" customWidth="1"/>
    <col min="3" max="3" width="16.44140625" customWidth="1"/>
    <col min="4" max="4" width="10.88671875" customWidth="1"/>
    <col min="5" max="5" width="12.77734375" customWidth="1"/>
    <col min="6" max="6" width="8.88671875" customWidth="1"/>
    <col min="7" max="7" width="34.88671875" customWidth="1"/>
    <col min="8" max="8" width="25.6640625" customWidth="1"/>
    <col min="9" max="10" width="22.21875" customWidth="1"/>
  </cols>
  <sheetData>
    <row r="1" spans="1:10" ht="25.05" customHeight="1" x14ac:dyDescent="0.3">
      <c r="A1" s="187" t="s">
        <v>130</v>
      </c>
      <c r="B1" s="188">
        <v>310</v>
      </c>
      <c r="C1" s="64"/>
      <c r="D1" s="64"/>
      <c r="E1" s="64"/>
      <c r="F1" s="64"/>
    </row>
    <row r="2" spans="1:10" ht="25.05" customHeight="1" x14ac:dyDescent="0.3">
      <c r="A2" s="189" t="s">
        <v>119</v>
      </c>
      <c r="B2" s="190">
        <v>20000</v>
      </c>
      <c r="C2" s="64"/>
      <c r="D2" s="93"/>
      <c r="E2" s="93"/>
      <c r="F2" s="64"/>
      <c r="G2" s="91"/>
      <c r="H2" s="92" t="str">
        <f>IF( OR(G7&lt;H7,I7&lt;J7), "RUN AGAIN", "PAVEMENT DESIGN IS DONE" )</f>
        <v>PAVEMENT DESIGN IS DONE</v>
      </c>
      <c r="I2" s="91"/>
    </row>
    <row r="3" spans="1:10" ht="25.05" customHeight="1" x14ac:dyDescent="0.3">
      <c r="A3" s="197" t="s">
        <v>104</v>
      </c>
      <c r="B3" s="198">
        <v>0.56000000000000005</v>
      </c>
      <c r="C3" s="64"/>
      <c r="D3" s="64"/>
      <c r="E3" s="64"/>
      <c r="F3" s="64"/>
    </row>
    <row r="4" spans="1:10" ht="19.8" customHeight="1" x14ac:dyDescent="0.3">
      <c r="A4" s="191" t="s">
        <v>123</v>
      </c>
      <c r="B4" s="191"/>
      <c r="C4" s="191"/>
      <c r="D4" s="191"/>
      <c r="E4" s="191"/>
      <c r="F4" s="191"/>
      <c r="G4" s="191" t="s">
        <v>139</v>
      </c>
      <c r="H4" s="191"/>
      <c r="I4" s="191"/>
      <c r="J4" s="191"/>
    </row>
    <row r="5" spans="1:10" ht="34.049999999999997" customHeight="1" x14ac:dyDescent="0.3">
      <c r="A5" s="65" t="s">
        <v>99</v>
      </c>
      <c r="B5" s="196">
        <v>3</v>
      </c>
      <c r="C5" s="65"/>
      <c r="D5" s="65"/>
      <c r="E5" s="65"/>
      <c r="F5" s="65"/>
      <c r="G5" s="193" t="s">
        <v>135</v>
      </c>
      <c r="H5" s="193"/>
      <c r="I5" s="193" t="s">
        <v>136</v>
      </c>
      <c r="J5" s="193"/>
    </row>
    <row r="6" spans="1:10" ht="34.049999999999997" customHeight="1" x14ac:dyDescent="0.3">
      <c r="A6" s="192" t="s">
        <v>100</v>
      </c>
      <c r="B6" s="192">
        <v>3000</v>
      </c>
      <c r="C6" s="192" t="s">
        <v>110</v>
      </c>
      <c r="D6" s="192">
        <v>0.35</v>
      </c>
      <c r="E6" s="192" t="s">
        <v>111</v>
      </c>
      <c r="F6" s="192">
        <f>Pavement!C9+Pavement!D9</f>
        <v>110</v>
      </c>
      <c r="G6" s="194" t="s">
        <v>137</v>
      </c>
      <c r="H6" s="194" t="s">
        <v>138</v>
      </c>
      <c r="I6" s="194" t="s">
        <v>137</v>
      </c>
      <c r="J6" s="194" t="s">
        <v>138</v>
      </c>
    </row>
    <row r="7" spans="1:10" ht="25.05" customHeight="1" x14ac:dyDescent="0.3">
      <c r="A7" s="192" t="s">
        <v>101</v>
      </c>
      <c r="B7" s="195">
        <f>Pavement!B11</f>
        <v>240.15315397293821</v>
      </c>
      <c r="C7" s="192" t="s">
        <v>110</v>
      </c>
      <c r="D7" s="192">
        <v>0.35</v>
      </c>
      <c r="E7" s="192" t="s">
        <v>111</v>
      </c>
      <c r="F7" s="192">
        <f>Pavement!E9+Pavement!F9</f>
        <v>450</v>
      </c>
      <c r="G7" s="194">
        <f>Pavement!B13</f>
        <v>4.5279965264182783E-4</v>
      </c>
      <c r="H7" s="194">
        <v>1.9479999999999999E-4</v>
      </c>
      <c r="I7" s="194">
        <f>Pavement!B14</f>
        <v>2.2420397583313391E-4</v>
      </c>
      <c r="J7" s="194">
        <v>2.2249999999999999E-4</v>
      </c>
    </row>
    <row r="8" spans="1:10" ht="25.05" customHeight="1" x14ac:dyDescent="0.3">
      <c r="A8" s="192" t="s">
        <v>102</v>
      </c>
      <c r="B8" s="195">
        <f>Pavement!B10</f>
        <v>76.826786474269227</v>
      </c>
      <c r="C8" s="192" t="s">
        <v>110</v>
      </c>
      <c r="D8" s="192">
        <v>0.35</v>
      </c>
      <c r="E8" s="65"/>
      <c r="F8" s="65"/>
    </row>
    <row r="9" spans="1:10" ht="25.05" customHeight="1" x14ac:dyDescent="0.3">
      <c r="A9" s="192" t="s">
        <v>103</v>
      </c>
      <c r="B9" s="192">
        <f>B2</f>
        <v>20000</v>
      </c>
      <c r="C9" s="192" t="s">
        <v>112</v>
      </c>
      <c r="D9" s="192">
        <f>B3</f>
        <v>0.56000000000000005</v>
      </c>
      <c r="E9" s="65"/>
      <c r="F9" s="65"/>
    </row>
    <row r="10" spans="1:10" ht="25.05" customHeight="1" x14ac:dyDescent="0.3">
      <c r="A10" s="192" t="s">
        <v>105</v>
      </c>
      <c r="B10" s="192">
        <v>4</v>
      </c>
      <c r="C10" s="65"/>
      <c r="D10" s="65"/>
      <c r="E10" s="65"/>
      <c r="F10" s="65"/>
    </row>
    <row r="11" spans="1:10" ht="25.05" customHeight="1" x14ac:dyDescent="0.3">
      <c r="A11" s="192" t="s">
        <v>106</v>
      </c>
      <c r="B11" s="192">
        <f>F6</f>
        <v>110</v>
      </c>
      <c r="C11" s="192" t="s">
        <v>107</v>
      </c>
      <c r="D11" s="192">
        <v>0</v>
      </c>
      <c r="E11" s="65"/>
      <c r="F11" s="65"/>
    </row>
    <row r="12" spans="1:10" ht="25.05" customHeight="1" x14ac:dyDescent="0.3">
      <c r="A12" s="192" t="s">
        <v>108</v>
      </c>
      <c r="B12" s="192">
        <f>F6</f>
        <v>110</v>
      </c>
      <c r="C12" s="192" t="s">
        <v>107</v>
      </c>
      <c r="D12" s="192">
        <f>B1/2</f>
        <v>155</v>
      </c>
      <c r="E12" s="65"/>
      <c r="F12" s="65"/>
    </row>
    <row r="13" spans="1:10" ht="25.05" customHeight="1" x14ac:dyDescent="0.3">
      <c r="A13" s="192" t="s">
        <v>120</v>
      </c>
      <c r="B13" s="192">
        <f>F6+F7</f>
        <v>560</v>
      </c>
      <c r="C13" s="192" t="s">
        <v>107</v>
      </c>
      <c r="D13" s="192">
        <v>0</v>
      </c>
      <c r="E13" s="65"/>
      <c r="F13" s="65"/>
    </row>
    <row r="14" spans="1:10" ht="25.05" customHeight="1" x14ac:dyDescent="0.3">
      <c r="A14" s="192" t="s">
        <v>121</v>
      </c>
      <c r="B14" s="192">
        <f>F6+F7</f>
        <v>560</v>
      </c>
      <c r="C14" s="192" t="s">
        <v>107</v>
      </c>
      <c r="D14" s="192">
        <f>B1/2</f>
        <v>155</v>
      </c>
      <c r="E14" s="65"/>
      <c r="F14" s="65"/>
    </row>
    <row r="15" spans="1:10" ht="25.05" customHeight="1" x14ac:dyDescent="0.3">
      <c r="A15" s="192" t="s">
        <v>109</v>
      </c>
      <c r="B15" s="192">
        <v>2</v>
      </c>
      <c r="C15" s="65"/>
      <c r="D15" s="65"/>
      <c r="E15" s="65"/>
      <c r="F15" s="65"/>
    </row>
  </sheetData>
  <mergeCells count="5">
    <mergeCell ref="G5:H5"/>
    <mergeCell ref="I5:J5"/>
    <mergeCell ref="G4:J4"/>
    <mergeCell ref="A4:F4"/>
    <mergeCell ref="D2:E2"/>
  </mergeCells>
  <hyperlinks>
    <hyperlink ref="H2" location="IITPAVE!A1" display="IITPAVE!A1" xr:uid="{1E379FEA-2915-42D4-AC31-7F78CB8827DE}"/>
  </hyperlinks>
  <pageMargins left="0.7" right="0.7" top="0.75" bottom="0.75" header="0.3" footer="0.3"/>
  <pageSetup scale="60" fitToHeight="0" orientation="landscape" r:id="rId1"/>
  <colBreaks count="1" manualBreakCount="1">
    <brk id="6" max="14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F60A-0725-4D47-973A-03D661B16418}">
  <dimension ref="A1:L28"/>
  <sheetViews>
    <sheetView showGridLines="0" view="pageBreakPreview" topLeftCell="A3" zoomScale="40" zoomScaleNormal="100" zoomScaleSheetLayoutView="40" workbookViewId="0">
      <selection activeCell="H12" sqref="H12"/>
    </sheetView>
  </sheetViews>
  <sheetFormatPr defaultRowHeight="14.4" x14ac:dyDescent="0.3"/>
  <cols>
    <col min="1" max="1" width="45.44140625" customWidth="1"/>
    <col min="2" max="2" width="15.109375" customWidth="1"/>
    <col min="3" max="3" width="24.88671875" style="3" customWidth="1"/>
    <col min="4" max="4" width="17.5546875" style="66" customWidth="1"/>
    <col min="5" max="5" width="15.21875" customWidth="1"/>
    <col min="6" max="6" width="15.77734375" customWidth="1"/>
    <col min="7" max="7" width="32.44140625" customWidth="1"/>
    <col min="8" max="8" width="20.77734375" customWidth="1"/>
    <col min="9" max="9" width="23.5546875" customWidth="1"/>
    <col min="10" max="10" width="20.77734375" customWidth="1"/>
    <col min="11" max="11" width="16.109375" customWidth="1"/>
    <col min="12" max="12" width="20.77734375" customWidth="1"/>
  </cols>
  <sheetData>
    <row r="1" spans="1:12" ht="37.049999999999997" customHeight="1" x14ac:dyDescent="0.3">
      <c r="A1" s="102" t="s">
        <v>36</v>
      </c>
      <c r="B1" s="102"/>
      <c r="C1" s="102"/>
      <c r="D1" s="102"/>
      <c r="E1" s="102"/>
      <c r="F1" s="103"/>
      <c r="G1" s="97" t="s">
        <v>123</v>
      </c>
      <c r="H1" s="97"/>
      <c r="I1" s="97"/>
      <c r="J1" s="97"/>
      <c r="K1" s="97"/>
      <c r="L1" s="97"/>
    </row>
    <row r="2" spans="1:12" ht="37.049999999999997" customHeight="1" x14ac:dyDescent="0.3">
      <c r="A2" s="76" t="s">
        <v>0</v>
      </c>
      <c r="B2" s="81" t="s">
        <v>21</v>
      </c>
      <c r="C2" s="105">
        <f>'Traffic Design'!C2</f>
        <v>750</v>
      </c>
      <c r="D2" s="105"/>
      <c r="E2" s="105"/>
      <c r="F2" s="105"/>
      <c r="G2" s="82" t="s">
        <v>99</v>
      </c>
      <c r="H2" s="80">
        <f>IITPAVE!B5</f>
        <v>3</v>
      </c>
      <c r="I2" s="70"/>
      <c r="J2" s="70"/>
      <c r="K2" s="70"/>
      <c r="L2" s="70"/>
    </row>
    <row r="3" spans="1:12" ht="37.049999999999997" customHeight="1" x14ac:dyDescent="0.3">
      <c r="A3" s="69" t="s">
        <v>8</v>
      </c>
      <c r="B3" s="71"/>
      <c r="C3" s="95" t="str">
        <f>'Traffic Design'!C3</f>
        <v>Four-lane single carriageway roads</v>
      </c>
      <c r="D3" s="95"/>
      <c r="E3" s="95"/>
      <c r="F3" s="95"/>
      <c r="G3" s="83" t="s">
        <v>100</v>
      </c>
      <c r="H3" s="75">
        <f>IITPAVE!B6</f>
        <v>3000</v>
      </c>
      <c r="I3" s="75" t="s">
        <v>110</v>
      </c>
      <c r="J3" s="75">
        <f>IITPAVE!D6</f>
        <v>0.35</v>
      </c>
      <c r="K3" s="75" t="s">
        <v>111</v>
      </c>
      <c r="L3" s="75">
        <f>IITPAVE!F6</f>
        <v>110</v>
      </c>
    </row>
    <row r="4" spans="1:12" ht="37.049999999999997" customHeight="1" x14ac:dyDescent="0.3">
      <c r="A4" s="69" t="s">
        <v>14</v>
      </c>
      <c r="B4" s="71" t="s">
        <v>22</v>
      </c>
      <c r="C4" s="106">
        <f>'Traffic Design'!C4</f>
        <v>50</v>
      </c>
      <c r="D4" s="106"/>
      <c r="E4" s="106"/>
      <c r="F4" s="106"/>
      <c r="G4" s="83" t="s">
        <v>101</v>
      </c>
      <c r="H4" s="77">
        <f>IITPAVE!B7</f>
        <v>240.15315397293821</v>
      </c>
      <c r="I4" s="75" t="s">
        <v>110</v>
      </c>
      <c r="J4" s="75">
        <f>IITPAVE!D7</f>
        <v>0.35</v>
      </c>
      <c r="K4" s="75" t="s">
        <v>111</v>
      </c>
      <c r="L4" s="75">
        <f>IITPAVE!F7</f>
        <v>450</v>
      </c>
    </row>
    <row r="5" spans="1:12" ht="37.049999999999997" customHeight="1" x14ac:dyDescent="0.3">
      <c r="A5" s="68" t="s">
        <v>20</v>
      </c>
      <c r="B5" s="71" t="s">
        <v>1</v>
      </c>
      <c r="C5" s="107">
        <f>'Traffic Design'!C5</f>
        <v>5</v>
      </c>
      <c r="D5" s="107"/>
      <c r="E5" s="107"/>
      <c r="F5" s="107"/>
      <c r="G5" s="83" t="s">
        <v>102</v>
      </c>
      <c r="H5" s="77">
        <f>IITPAVE!B8</f>
        <v>76.826786474269227</v>
      </c>
      <c r="I5" s="75" t="s">
        <v>110</v>
      </c>
      <c r="J5" s="75">
        <f>IITPAVE!D8</f>
        <v>0.35</v>
      </c>
      <c r="K5" s="70"/>
      <c r="L5" s="70"/>
    </row>
    <row r="6" spans="1:12" ht="37.049999999999997" customHeight="1" x14ac:dyDescent="0.3">
      <c r="A6" s="69" t="s">
        <v>2</v>
      </c>
      <c r="B6" s="71" t="s">
        <v>3</v>
      </c>
      <c r="C6" s="108">
        <f>'Traffic Design'!C6</f>
        <v>3</v>
      </c>
      <c r="D6" s="108"/>
      <c r="E6" s="108"/>
      <c r="F6" s="108"/>
      <c r="G6" s="83" t="s">
        <v>103</v>
      </c>
      <c r="H6" s="75">
        <f>IITPAVE!B9</f>
        <v>20000</v>
      </c>
      <c r="I6" s="75" t="s">
        <v>112</v>
      </c>
      <c r="J6" s="75">
        <f>IITPAVE!D9</f>
        <v>0.56000000000000005</v>
      </c>
      <c r="K6" s="70"/>
      <c r="L6" s="70"/>
    </row>
    <row r="7" spans="1:12" ht="37.049999999999997" customHeight="1" x14ac:dyDescent="0.3">
      <c r="A7" s="72" t="s">
        <v>33</v>
      </c>
      <c r="B7" s="71" t="s">
        <v>32</v>
      </c>
      <c r="C7" s="110">
        <f>C2*(1+(C5/100))^C6</f>
        <v>868.21875000000011</v>
      </c>
      <c r="D7" s="110"/>
      <c r="E7" s="110"/>
      <c r="F7" s="110"/>
      <c r="G7" s="83" t="s">
        <v>105</v>
      </c>
      <c r="H7" s="75">
        <f>IITPAVE!B10</f>
        <v>4</v>
      </c>
      <c r="I7" s="70"/>
      <c r="J7" s="70"/>
      <c r="K7" s="70"/>
      <c r="L7" s="70"/>
    </row>
    <row r="8" spans="1:12" ht="37.049999999999997" customHeight="1" x14ac:dyDescent="0.3">
      <c r="A8" s="72" t="s">
        <v>5</v>
      </c>
      <c r="B8" s="71" t="s">
        <v>6</v>
      </c>
      <c r="C8" s="105">
        <f>'Traffic Design'!C8</f>
        <v>3.9</v>
      </c>
      <c r="D8" s="105"/>
      <c r="E8" s="105"/>
      <c r="F8" s="105"/>
      <c r="G8" s="83" t="s">
        <v>106</v>
      </c>
      <c r="H8" s="75">
        <f>IITPAVE!B11</f>
        <v>110</v>
      </c>
      <c r="I8" s="75" t="s">
        <v>107</v>
      </c>
      <c r="J8" s="75">
        <f>IITPAVE!D11</f>
        <v>0</v>
      </c>
      <c r="K8" s="70"/>
      <c r="L8" s="70"/>
    </row>
    <row r="9" spans="1:12" ht="37.049999999999997" customHeight="1" x14ac:dyDescent="0.3">
      <c r="A9" s="72" t="s">
        <v>150</v>
      </c>
      <c r="B9" s="71"/>
      <c r="C9" s="105" t="str">
        <f>'Traffic Design'!E7</f>
        <v>Rolling/Plain</v>
      </c>
      <c r="D9" s="105"/>
      <c r="E9" s="105"/>
      <c r="F9" s="105"/>
      <c r="G9" s="83" t="s">
        <v>108</v>
      </c>
      <c r="H9" s="75">
        <f>IITPAVE!B12</f>
        <v>110</v>
      </c>
      <c r="I9" s="75" t="s">
        <v>107</v>
      </c>
      <c r="J9" s="75">
        <f>IITPAVE!D12</f>
        <v>155</v>
      </c>
      <c r="K9" s="70"/>
      <c r="L9" s="70"/>
    </row>
    <row r="10" spans="1:12" ht="37.049999999999997" customHeight="1" x14ac:dyDescent="0.3">
      <c r="A10" s="73" t="s">
        <v>97</v>
      </c>
      <c r="B10" s="71"/>
      <c r="C10" s="105" t="str">
        <f>'Traffic Design'!C9</f>
        <v>National Highway (NH)</v>
      </c>
      <c r="D10" s="105"/>
      <c r="E10" s="105"/>
      <c r="F10" s="105"/>
      <c r="G10" s="83" t="s">
        <v>120</v>
      </c>
      <c r="H10" s="75">
        <f>IITPAVE!B13</f>
        <v>560</v>
      </c>
      <c r="I10" s="75" t="s">
        <v>107</v>
      </c>
      <c r="J10" s="75">
        <f>IITPAVE!D13</f>
        <v>0</v>
      </c>
      <c r="K10" s="70"/>
      <c r="L10" s="70"/>
    </row>
    <row r="11" spans="1:12" ht="37.049999999999997" customHeight="1" x14ac:dyDescent="0.3">
      <c r="A11" s="69" t="s">
        <v>4</v>
      </c>
      <c r="B11" s="71" t="s">
        <v>7</v>
      </c>
      <c r="C11" s="108">
        <f>'Traffic Design'!C10</f>
        <v>20</v>
      </c>
      <c r="D11" s="108"/>
      <c r="E11" s="108"/>
      <c r="F11" s="108"/>
      <c r="G11" s="83" t="s">
        <v>121</v>
      </c>
      <c r="H11" s="75">
        <f>IITPAVE!B14</f>
        <v>560</v>
      </c>
      <c r="I11" s="75" t="s">
        <v>107</v>
      </c>
      <c r="J11" s="75">
        <f>IITPAVE!D14</f>
        <v>155</v>
      </c>
      <c r="K11" s="70"/>
      <c r="L11" s="70"/>
    </row>
    <row r="12" spans="1:12" ht="37.049999999999997" customHeight="1" x14ac:dyDescent="0.3">
      <c r="A12" s="68" t="s">
        <v>34</v>
      </c>
      <c r="B12" s="71" t="s">
        <v>35</v>
      </c>
      <c r="C12" s="109">
        <f>'Traffic Design'!C11</f>
        <v>20.433261592867524</v>
      </c>
      <c r="D12" s="109"/>
      <c r="E12" s="109"/>
      <c r="F12" s="109"/>
      <c r="G12" s="83" t="s">
        <v>109</v>
      </c>
      <c r="H12" s="75">
        <f>IITPAVE!B15</f>
        <v>2</v>
      </c>
      <c r="I12" s="70"/>
      <c r="J12" s="70"/>
      <c r="K12" s="70"/>
      <c r="L12" s="70"/>
    </row>
    <row r="13" spans="1:12" ht="37.049999999999997" customHeight="1" x14ac:dyDescent="0.3">
      <c r="A13" s="68" t="s">
        <v>149</v>
      </c>
      <c r="B13" s="90"/>
      <c r="C13" s="111">
        <f>Pavement!B2</f>
        <v>25</v>
      </c>
      <c r="D13" s="111"/>
      <c r="E13" s="111"/>
      <c r="F13" s="111"/>
      <c r="G13" s="98" t="s">
        <v>151</v>
      </c>
      <c r="H13" s="98"/>
      <c r="I13" s="98"/>
      <c r="J13" s="98"/>
      <c r="K13" s="98"/>
      <c r="L13" s="99"/>
    </row>
    <row r="14" spans="1:12" ht="37.049999999999997" customHeight="1" x14ac:dyDescent="0.3">
      <c r="A14" s="69" t="s">
        <v>147</v>
      </c>
      <c r="B14" s="90" t="s">
        <v>152</v>
      </c>
      <c r="C14" s="105">
        <f>Pavement!B3</f>
        <v>10</v>
      </c>
      <c r="D14" s="105"/>
      <c r="E14" s="105"/>
      <c r="F14" s="105"/>
      <c r="G14" s="100" t="s">
        <v>135</v>
      </c>
      <c r="H14" s="100"/>
      <c r="I14" s="101"/>
      <c r="J14" s="104" t="s">
        <v>136</v>
      </c>
      <c r="K14" s="104"/>
      <c r="L14" s="104"/>
    </row>
    <row r="15" spans="1:12" ht="37.049999999999997" customHeight="1" x14ac:dyDescent="0.3">
      <c r="A15" s="68" t="s">
        <v>64</v>
      </c>
      <c r="B15" s="90"/>
      <c r="C15" s="94">
        <f>Pavement!B4</f>
        <v>76.826786474269227</v>
      </c>
      <c r="D15" s="94"/>
      <c r="E15" s="94"/>
      <c r="F15" s="94"/>
      <c r="G15" s="78" t="s">
        <v>137</v>
      </c>
      <c r="H15" s="96" t="s">
        <v>138</v>
      </c>
      <c r="I15" s="96"/>
      <c r="J15" s="79" t="s">
        <v>137</v>
      </c>
      <c r="K15" s="96" t="s">
        <v>138</v>
      </c>
      <c r="L15" s="96"/>
    </row>
    <row r="16" spans="1:12" ht="37.049999999999997" customHeight="1" x14ac:dyDescent="0.3">
      <c r="A16" s="69" t="s">
        <v>65</v>
      </c>
      <c r="B16" s="90"/>
      <c r="C16" s="95" t="s">
        <v>59</v>
      </c>
      <c r="D16" s="95"/>
      <c r="E16" s="95"/>
      <c r="F16" s="95"/>
      <c r="G16" s="78">
        <f>IITPAVE!G7</f>
        <v>4.5279965264182783E-4</v>
      </c>
      <c r="H16" s="96">
        <f>IITPAVE!H7</f>
        <v>1.9479999999999999E-4</v>
      </c>
      <c r="I16" s="96"/>
      <c r="J16" s="79">
        <f>IITPAVE!I7</f>
        <v>2.2420397583313391E-4</v>
      </c>
      <c r="K16" s="96">
        <f>IITPAVE!J7</f>
        <v>2.2249999999999999E-4</v>
      </c>
      <c r="L16" s="96"/>
    </row>
    <row r="17" spans="1:6" ht="37.049999999999997" customHeight="1" x14ac:dyDescent="0.3">
      <c r="A17" s="68" t="s">
        <v>69</v>
      </c>
      <c r="B17" s="90"/>
      <c r="C17" s="94">
        <f>Pavement!B6</f>
        <v>3000</v>
      </c>
      <c r="D17" s="94"/>
      <c r="E17" s="94"/>
      <c r="F17" s="94"/>
    </row>
    <row r="18" spans="1:6" ht="37.049999999999997" customHeight="1" x14ac:dyDescent="0.3">
      <c r="A18" s="69" t="s">
        <v>145</v>
      </c>
      <c r="B18" s="90"/>
      <c r="C18" s="95" t="str">
        <f>Pavement!B7</f>
        <v xml:space="preserve"> Bituminous Surface Course with 
Granular Base and Sub-base</v>
      </c>
      <c r="D18" s="95"/>
      <c r="E18" s="95"/>
      <c r="F18" s="95"/>
    </row>
    <row r="19" spans="1:6" ht="59.4" customHeight="1" x14ac:dyDescent="0.3">
      <c r="A19" s="86" t="s">
        <v>86</v>
      </c>
      <c r="B19" s="87" t="s">
        <v>72</v>
      </c>
      <c r="C19" s="87" t="s">
        <v>77</v>
      </c>
      <c r="D19" s="87" t="s">
        <v>78</v>
      </c>
      <c r="E19" s="87" t="s">
        <v>75</v>
      </c>
      <c r="F19" s="87" t="s">
        <v>76</v>
      </c>
    </row>
    <row r="20" spans="1:6" ht="37.049999999999997" customHeight="1" x14ac:dyDescent="0.3">
      <c r="A20" s="88" t="str">
        <f>Pavement!A9</f>
        <v>Plate6</v>
      </c>
      <c r="B20" s="89">
        <f>Pavement!B9</f>
        <v>560</v>
      </c>
      <c r="C20" s="89">
        <f>Pavement!C9</f>
        <v>40</v>
      </c>
      <c r="D20" s="89">
        <f>Pavement!D9</f>
        <v>70</v>
      </c>
      <c r="E20" s="89">
        <f>Pavement!E9</f>
        <v>250</v>
      </c>
      <c r="F20" s="89">
        <f>Pavement!F9</f>
        <v>200</v>
      </c>
    </row>
    <row r="21" spans="1:6" ht="37.049999999999997" customHeight="1" x14ac:dyDescent="0.3">
      <c r="A21" s="68" t="s">
        <v>96</v>
      </c>
      <c r="B21" s="113">
        <f>IF(C14&lt;=5,10*C14,17.6*(C14)^0.64)</f>
        <v>76.826786474269227</v>
      </c>
      <c r="C21" s="113"/>
      <c r="D21" s="113"/>
      <c r="E21" s="113"/>
      <c r="F21" s="113"/>
    </row>
    <row r="22" spans="1:6" ht="37.049999999999997" customHeight="1" x14ac:dyDescent="0.3">
      <c r="A22" s="68" t="s">
        <v>122</v>
      </c>
      <c r="B22" s="113">
        <f>0.2*((E20+F20)^0.45)*B21</f>
        <v>240.15315397293821</v>
      </c>
      <c r="C22" s="113"/>
      <c r="D22" s="113"/>
      <c r="E22" s="113"/>
      <c r="F22" s="113"/>
    </row>
    <row r="23" spans="1:6" ht="37.049999999999997" customHeight="1" x14ac:dyDescent="0.3">
      <c r="A23" s="69" t="s">
        <v>98</v>
      </c>
      <c r="B23" s="114">
        <f>Pavement!B12</f>
        <v>90</v>
      </c>
      <c r="C23" s="114"/>
      <c r="D23" s="114"/>
      <c r="E23" s="114"/>
      <c r="F23" s="114"/>
    </row>
    <row r="24" spans="1:6" ht="37.049999999999997" customHeight="1" x14ac:dyDescent="0.3">
      <c r="A24" s="74" t="s">
        <v>125</v>
      </c>
      <c r="B24" s="112">
        <f>Pavement!B13</f>
        <v>4.5279965264182783E-4</v>
      </c>
      <c r="C24" s="112"/>
      <c r="D24" s="112"/>
      <c r="E24" s="112"/>
      <c r="F24" s="112"/>
    </row>
    <row r="25" spans="1:6" ht="37.049999999999997" customHeight="1" x14ac:dyDescent="0.3">
      <c r="A25" s="74" t="s">
        <v>124</v>
      </c>
      <c r="B25" s="112">
        <f>Pavement!B14</f>
        <v>2.2420397583313391E-4</v>
      </c>
      <c r="C25" s="112"/>
      <c r="D25" s="112"/>
      <c r="E25" s="112"/>
      <c r="F25" s="112"/>
    </row>
    <row r="26" spans="1:6" ht="37.049999999999997" customHeight="1" x14ac:dyDescent="0.3">
      <c r="A26" s="72" t="s">
        <v>130</v>
      </c>
      <c r="B26" s="84">
        <f>IITPAVE!B1</f>
        <v>310</v>
      </c>
      <c r="C26" s="71" t="s">
        <v>119</v>
      </c>
      <c r="D26" s="85">
        <f>IITPAVE!B2</f>
        <v>20000</v>
      </c>
      <c r="E26" s="71" t="s">
        <v>104</v>
      </c>
      <c r="F26" s="71">
        <f>IITPAVE!B3</f>
        <v>0.56000000000000005</v>
      </c>
    </row>
    <row r="27" spans="1:6" x14ac:dyDescent="0.3">
      <c r="A27" s="67"/>
      <c r="B27" s="67"/>
      <c r="C27" s="66"/>
      <c r="E27" s="67"/>
      <c r="F27" s="67"/>
    </row>
    <row r="28" spans="1:6" x14ac:dyDescent="0.3">
      <c r="A28" s="67"/>
      <c r="B28" s="67"/>
      <c r="C28" s="66"/>
      <c r="E28" s="67"/>
      <c r="F28" s="67"/>
    </row>
  </sheetData>
  <dataConsolidate link="1"/>
  <mergeCells count="31">
    <mergeCell ref="B25:F25"/>
    <mergeCell ref="C18:F18"/>
    <mergeCell ref="B21:F21"/>
    <mergeCell ref="B22:F22"/>
    <mergeCell ref="B23:F23"/>
    <mergeCell ref="B24:F24"/>
    <mergeCell ref="A1:F1"/>
    <mergeCell ref="J14:L14"/>
    <mergeCell ref="C2:F2"/>
    <mergeCell ref="C3:F3"/>
    <mergeCell ref="C4:F4"/>
    <mergeCell ref="C5:F5"/>
    <mergeCell ref="C6:F6"/>
    <mergeCell ref="C12:F12"/>
    <mergeCell ref="C7:F7"/>
    <mergeCell ref="C8:F8"/>
    <mergeCell ref="C9:F9"/>
    <mergeCell ref="C10:F10"/>
    <mergeCell ref="C11:F11"/>
    <mergeCell ref="C13:F13"/>
    <mergeCell ref="C14:F14"/>
    <mergeCell ref="K15:L15"/>
    <mergeCell ref="K16:L16"/>
    <mergeCell ref="G1:L1"/>
    <mergeCell ref="G13:L13"/>
    <mergeCell ref="G14:I14"/>
    <mergeCell ref="C15:F15"/>
    <mergeCell ref="C16:F16"/>
    <mergeCell ref="C17:F17"/>
    <mergeCell ref="H15:I15"/>
    <mergeCell ref="H16:I16"/>
  </mergeCells>
  <pageMargins left="0.7" right="0.7" top="0.75" bottom="0.75" header="0.3" footer="0.3"/>
  <pageSetup paperSize="9" scale="65" orientation="portrait" r:id="rId1"/>
  <colBreaks count="1" manualBreakCount="1">
    <brk id="6" max="104857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3DEE49-A919-4242-BCBA-13B5DEC63A59}">
          <x14:formula1>
            <xm:f>Data!$N$3:$N$8</xm:f>
          </x14:formula1>
          <xm:sqref>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3273-49C7-4163-9F87-15FC0BD7115A}">
  <sheetPr codeName="Sheet4"/>
  <dimension ref="A1:Z23"/>
  <sheetViews>
    <sheetView topLeftCell="I1" zoomScaleNormal="100" workbookViewId="0">
      <selection activeCell="Q11" sqref="Q11"/>
    </sheetView>
  </sheetViews>
  <sheetFormatPr defaultRowHeight="14.4" x14ac:dyDescent="0.3"/>
  <cols>
    <col min="1" max="1" width="23" customWidth="1"/>
    <col min="2" max="2" width="13.5546875" customWidth="1"/>
    <col min="3" max="3" width="3.21875" customWidth="1"/>
    <col min="4" max="4" width="30.109375" customWidth="1"/>
    <col min="5" max="5" width="12" customWidth="1"/>
    <col min="7" max="7" width="3.6640625" customWidth="1"/>
    <col min="8" max="8" width="10.77734375" customWidth="1"/>
    <col min="9" max="9" width="26.21875" customWidth="1"/>
    <col min="10" max="10" width="23.6640625" customWidth="1"/>
    <col min="11" max="11" width="11.33203125" customWidth="1"/>
    <col min="12" max="12" width="11.6640625" customWidth="1"/>
    <col min="13" max="13" width="4.44140625" customWidth="1"/>
    <col min="14" max="14" width="27.33203125" customWidth="1"/>
    <col min="15" max="15" width="27.88671875" customWidth="1"/>
    <col min="16" max="16" width="8.88671875" customWidth="1"/>
    <col min="17" max="17" width="28.88671875" customWidth="1"/>
    <col min="18" max="18" width="15.6640625" customWidth="1"/>
    <col min="19" max="19" width="4.77734375" customWidth="1"/>
    <col min="25" max="25" width="12" bestFit="1" customWidth="1"/>
  </cols>
  <sheetData>
    <row r="1" spans="1:26" s="2" customFormat="1" ht="30" customHeight="1" x14ac:dyDescent="0.3">
      <c r="A1" s="124" t="s">
        <v>19</v>
      </c>
      <c r="B1" s="124"/>
      <c r="D1" s="124" t="s">
        <v>30</v>
      </c>
      <c r="E1" s="124"/>
      <c r="F1" s="124"/>
      <c r="H1" s="115" t="s">
        <v>37</v>
      </c>
      <c r="I1" s="115"/>
      <c r="J1" s="115"/>
      <c r="K1" s="115"/>
      <c r="L1" s="115"/>
      <c r="O1" s="30" t="s">
        <v>63</v>
      </c>
      <c r="P1" s="31"/>
      <c r="Q1" s="31"/>
      <c r="R1" s="31"/>
    </row>
    <row r="2" spans="1:26" ht="30" customHeight="1" x14ac:dyDescent="0.3">
      <c r="A2" s="4" t="s">
        <v>15</v>
      </c>
      <c r="B2" s="5" t="s">
        <v>16</v>
      </c>
      <c r="D2" s="127" t="s">
        <v>23</v>
      </c>
      <c r="E2" s="125" t="s">
        <v>24</v>
      </c>
      <c r="F2" s="126"/>
      <c r="H2" s="21" t="s">
        <v>38</v>
      </c>
      <c r="I2" s="121" t="s">
        <v>44</v>
      </c>
      <c r="J2" s="122"/>
      <c r="K2" s="121" t="s">
        <v>45</v>
      </c>
      <c r="L2" s="123"/>
      <c r="O2" s="24" t="s">
        <v>46</v>
      </c>
      <c r="P2" s="24" t="s">
        <v>66</v>
      </c>
      <c r="Q2" s="24"/>
      <c r="R2" s="28" t="s">
        <v>69</v>
      </c>
      <c r="V2" t="s">
        <v>132</v>
      </c>
      <c r="W2" t="s">
        <v>133</v>
      </c>
    </row>
    <row r="3" spans="1:26" ht="30" customHeight="1" x14ac:dyDescent="0.3">
      <c r="A3" s="6" t="s">
        <v>9</v>
      </c>
      <c r="B3" s="61">
        <v>100</v>
      </c>
      <c r="D3" s="128"/>
      <c r="E3" s="8" t="s">
        <v>25</v>
      </c>
      <c r="F3" s="8" t="s">
        <v>26</v>
      </c>
      <c r="H3" s="15"/>
      <c r="I3" s="17" t="s">
        <v>42</v>
      </c>
      <c r="J3" s="17" t="s">
        <v>43</v>
      </c>
      <c r="K3" s="17" t="s">
        <v>46</v>
      </c>
      <c r="L3" s="17" t="s">
        <v>43</v>
      </c>
      <c r="N3" s="23" t="s">
        <v>58</v>
      </c>
      <c r="O3" s="27" t="s">
        <v>58</v>
      </c>
      <c r="P3" s="25">
        <v>20</v>
      </c>
      <c r="Q3" s="22" t="str">
        <f>O3&amp;P3</f>
        <v>BC and DBM for VG10 bitumen20</v>
      </c>
      <c r="R3" s="25">
        <v>2300</v>
      </c>
      <c r="U3">
        <v>80</v>
      </c>
      <c r="V3">
        <f>(1.6064*W8*(10^(-10))*((1/Pavement!B6)^0.854)/'Traffic Design'!C11)^(1/3.89)</f>
        <v>2.4812560699275963E-4</v>
      </c>
      <c r="W3">
        <f>(1.6064*W9*(10^(-10))*((1/Pavement!B6)^0.854)/'Traffic Design'!C11)^(1/3.89)</f>
        <v>3.001990644762238E-4</v>
      </c>
    </row>
    <row r="4" spans="1:26" ht="30" customHeight="1" x14ac:dyDescent="0.3">
      <c r="A4" s="6" t="s">
        <v>10</v>
      </c>
      <c r="B4" s="62">
        <v>75</v>
      </c>
      <c r="D4" s="9" t="s">
        <v>27</v>
      </c>
      <c r="E4" s="9">
        <v>1.7</v>
      </c>
      <c r="F4" s="9">
        <v>0.6</v>
      </c>
      <c r="H4" s="116" t="s">
        <v>39</v>
      </c>
      <c r="I4" s="14" t="s">
        <v>51</v>
      </c>
      <c r="J4" s="15" t="s">
        <v>56</v>
      </c>
      <c r="K4" s="117" t="s">
        <v>47</v>
      </c>
      <c r="L4" s="117" t="s">
        <v>48</v>
      </c>
      <c r="N4" s="23" t="s">
        <v>59</v>
      </c>
      <c r="O4" s="27" t="s">
        <v>58</v>
      </c>
      <c r="P4" s="25">
        <v>25</v>
      </c>
      <c r="Q4" s="22" t="str">
        <f t="shared" ref="Q4:Q23" si="0">O4&amp;P4</f>
        <v>BC and DBM for VG10 bitumen25</v>
      </c>
      <c r="R4" s="25">
        <v>2000</v>
      </c>
      <c r="U4">
        <v>90</v>
      </c>
      <c r="V4">
        <f>(0.5161*W8*(10^(-10))*((1/Pavement!B6)^0.854)/'Traffic Design'!C11)^(1/3.89)</f>
        <v>1.8531286128705573E-4</v>
      </c>
      <c r="W4">
        <f>(0.5161*W9*(10^(-10))*((1/Pavement!B6)^0.854)/'Traffic Design'!C11)^(1/3.89)</f>
        <v>2.2420397583313391E-4</v>
      </c>
    </row>
    <row r="5" spans="1:26" ht="30" customHeight="1" x14ac:dyDescent="0.3">
      <c r="A5" s="6" t="s">
        <v>11</v>
      </c>
      <c r="B5" s="62">
        <v>50</v>
      </c>
      <c r="D5" s="10" t="s">
        <v>28</v>
      </c>
      <c r="E5" s="10">
        <v>3.9</v>
      </c>
      <c r="F5" s="10">
        <v>1.7</v>
      </c>
      <c r="H5" s="116"/>
      <c r="I5" s="20" t="s">
        <v>53</v>
      </c>
      <c r="J5" s="17" t="s">
        <v>52</v>
      </c>
      <c r="K5" s="116"/>
      <c r="L5" s="116"/>
      <c r="N5" s="23" t="s">
        <v>60</v>
      </c>
      <c r="O5" s="27" t="s">
        <v>58</v>
      </c>
      <c r="P5" s="25">
        <v>30</v>
      </c>
      <c r="Q5" s="22" t="str">
        <f t="shared" si="0"/>
        <v>BC and DBM for VG10 bitumen30</v>
      </c>
      <c r="R5" s="25">
        <v>1450</v>
      </c>
    </row>
    <row r="6" spans="1:26" ht="30" customHeight="1" x14ac:dyDescent="0.3">
      <c r="A6" s="6" t="s">
        <v>12</v>
      </c>
      <c r="B6" s="62">
        <v>40</v>
      </c>
      <c r="D6" s="11" t="s">
        <v>29</v>
      </c>
      <c r="E6" s="11">
        <v>5</v>
      </c>
      <c r="F6" s="11">
        <v>2.8</v>
      </c>
      <c r="H6" s="116"/>
      <c r="I6" s="18" t="s">
        <v>54</v>
      </c>
      <c r="J6" s="15" t="s">
        <v>55</v>
      </c>
      <c r="K6" s="118"/>
      <c r="L6" s="116"/>
      <c r="N6" s="23" t="s">
        <v>67</v>
      </c>
      <c r="O6" s="27" t="s">
        <v>58</v>
      </c>
      <c r="P6" s="25">
        <v>35</v>
      </c>
      <c r="Q6" s="22" t="str">
        <f t="shared" si="0"/>
        <v>BC and DBM for VG10 bitumen35</v>
      </c>
      <c r="R6" s="25">
        <v>1000</v>
      </c>
    </row>
    <row r="7" spans="1:26" ht="30" customHeight="1" x14ac:dyDescent="0.3">
      <c r="A7" s="6" t="s">
        <v>13</v>
      </c>
      <c r="B7" s="62">
        <v>75</v>
      </c>
      <c r="D7" s="12"/>
      <c r="E7" s="12"/>
      <c r="F7" s="12"/>
      <c r="H7" s="116" t="s">
        <v>40</v>
      </c>
      <c r="I7" s="17" t="s">
        <v>51</v>
      </c>
      <c r="J7" s="17" t="s">
        <v>56</v>
      </c>
      <c r="K7" s="116" t="s">
        <v>47</v>
      </c>
      <c r="L7" s="117" t="s">
        <v>48</v>
      </c>
      <c r="N7" s="23" t="s">
        <v>61</v>
      </c>
      <c r="O7" s="27" t="s">
        <v>58</v>
      </c>
      <c r="P7" s="25">
        <v>40</v>
      </c>
      <c r="Q7" s="22" t="str">
        <f t="shared" si="0"/>
        <v>BC and DBM for VG10 bitumen40</v>
      </c>
      <c r="R7" s="25">
        <v>800</v>
      </c>
      <c r="U7" t="s">
        <v>126</v>
      </c>
      <c r="V7" t="s">
        <v>134</v>
      </c>
      <c r="W7" t="s">
        <v>127</v>
      </c>
      <c r="X7" t="s">
        <v>128</v>
      </c>
    </row>
    <row r="8" spans="1:26" ht="30" customHeight="1" x14ac:dyDescent="0.3">
      <c r="A8" s="6" t="s">
        <v>17</v>
      </c>
      <c r="B8" s="62">
        <v>60</v>
      </c>
      <c r="D8" s="13" t="s">
        <v>25</v>
      </c>
      <c r="E8" s="129">
        <f>IF('Traffic Design'!C2&lt;150,Data!E4,IF('Traffic Design'!C2&lt;1500,Data!E5,IF('Traffic Design'!C2&gt;1500,Data!E6)))</f>
        <v>3.9</v>
      </c>
      <c r="F8" s="130"/>
      <c r="H8" s="116"/>
      <c r="I8" s="20" t="s">
        <v>53</v>
      </c>
      <c r="J8" s="17" t="s">
        <v>52</v>
      </c>
      <c r="K8" s="116"/>
      <c r="L8" s="116"/>
      <c r="N8" s="23" t="s">
        <v>68</v>
      </c>
      <c r="O8" s="27" t="s">
        <v>59</v>
      </c>
      <c r="P8" s="25">
        <v>20</v>
      </c>
      <c r="Q8" s="22" t="str">
        <f t="shared" si="0"/>
        <v>BC and DBM for VG30 bitumen20</v>
      </c>
      <c r="R8" s="25">
        <v>3500</v>
      </c>
      <c r="T8" s="1" t="s">
        <v>41</v>
      </c>
      <c r="U8">
        <v>4.5</v>
      </c>
      <c r="V8">
        <v>10.5</v>
      </c>
      <c r="W8">
        <v>1.1200000000000001</v>
      </c>
      <c r="X8">
        <f>4.84*((V8/(U8+V8))-0.69)</f>
        <v>4.840000000000004E-2</v>
      </c>
      <c r="Y8">
        <f>((1/X8)^0.854)*W8*10^(-10)</f>
        <v>1.4871681775613306E-9</v>
      </c>
      <c r="Z8">
        <f>IF(Pavement!B12=80,(1.604*Data!Y8)^(1/3.89),(0.5161*Data!Y8)^(1/3.89))</f>
        <v>4.5377074089688729E-3</v>
      </c>
    </row>
    <row r="9" spans="1:26" ht="30" customHeight="1" x14ac:dyDescent="0.3">
      <c r="A9" s="7" t="s">
        <v>18</v>
      </c>
      <c r="B9" s="63">
        <v>45</v>
      </c>
      <c r="D9" s="4" t="s">
        <v>26</v>
      </c>
      <c r="E9" s="119">
        <f>IF('Traffic Design'!C2&lt;150,Data!F4,IF('Traffic Design'!C2&lt;1500,Data!F5,IF('Traffic Design'!C2&gt;1500,Data!F6)))</f>
        <v>1.7</v>
      </c>
      <c r="F9" s="120"/>
      <c r="H9" s="116"/>
      <c r="I9" s="18" t="s">
        <v>54</v>
      </c>
      <c r="J9" s="16" t="s">
        <v>55</v>
      </c>
      <c r="K9" s="116"/>
      <c r="L9" s="118"/>
      <c r="O9" s="27" t="s">
        <v>59</v>
      </c>
      <c r="P9" s="25">
        <v>25</v>
      </c>
      <c r="Q9" s="22" t="str">
        <f t="shared" si="0"/>
        <v>BC and DBM for VG30 bitumen25</v>
      </c>
      <c r="R9" s="25">
        <v>3000</v>
      </c>
      <c r="T9" s="1" t="s">
        <v>129</v>
      </c>
      <c r="U9">
        <v>3.5</v>
      </c>
      <c r="V9">
        <v>11.5</v>
      </c>
      <c r="W9">
        <v>2.35</v>
      </c>
      <c r="X9">
        <f>4.84*((V9/(U9+V9))-0.69)</f>
        <v>0.37106666666666716</v>
      </c>
      <c r="Y9">
        <f>((1/X9)^0.854)*W9*10^(-10)</f>
        <v>5.479688901815668E-10</v>
      </c>
      <c r="Z9">
        <f>IF(Pavement!B12=80,(1.604*Data!Y9)^(1/3.89),(0.5161*Data!Y9)^(1/3.89))</f>
        <v>3.5105092263109303E-3</v>
      </c>
    </row>
    <row r="10" spans="1:26" ht="30" customHeight="1" x14ac:dyDescent="0.3">
      <c r="H10" s="16" t="s">
        <v>41</v>
      </c>
      <c r="I10" s="16" t="s">
        <v>57</v>
      </c>
      <c r="J10" s="19" t="s">
        <v>50</v>
      </c>
      <c r="K10" s="17" t="s">
        <v>49</v>
      </c>
      <c r="L10" s="16" t="s">
        <v>50</v>
      </c>
      <c r="O10" s="27" t="s">
        <v>59</v>
      </c>
      <c r="P10" s="25">
        <v>30</v>
      </c>
      <c r="Q10" s="22" t="str">
        <f t="shared" si="0"/>
        <v>BC and DBM for VG30 bitumen30</v>
      </c>
      <c r="R10" s="25">
        <v>2500</v>
      </c>
    </row>
    <row r="11" spans="1:26" ht="30" customHeight="1" x14ac:dyDescent="0.3">
      <c r="A11" s="58" t="s">
        <v>143</v>
      </c>
      <c r="D11" s="58" t="s">
        <v>113</v>
      </c>
      <c r="E11">
        <v>90</v>
      </c>
      <c r="O11" s="27" t="s">
        <v>59</v>
      </c>
      <c r="P11" s="25">
        <v>35</v>
      </c>
      <c r="Q11" s="22" t="str">
        <f t="shared" si="0"/>
        <v>BC and DBM for VG30 bitumen35</v>
      </c>
      <c r="R11" s="25">
        <v>2000</v>
      </c>
    </row>
    <row r="12" spans="1:26" ht="30" customHeight="1" x14ac:dyDescent="0.3">
      <c r="A12" s="58" t="s">
        <v>140</v>
      </c>
      <c r="D12" s="3" t="s">
        <v>114</v>
      </c>
      <c r="E12">
        <v>90</v>
      </c>
      <c r="O12" s="27" t="s">
        <v>59</v>
      </c>
      <c r="P12" s="25">
        <v>40</v>
      </c>
      <c r="Q12" s="22" t="str">
        <f t="shared" si="0"/>
        <v>BC and DBM for VG30 bitumen40</v>
      </c>
      <c r="R12" s="25">
        <v>1250</v>
      </c>
    </row>
    <row r="13" spans="1:26" ht="30" customHeight="1" x14ac:dyDescent="0.3">
      <c r="D13" s="58" t="s">
        <v>115</v>
      </c>
      <c r="E13">
        <v>80</v>
      </c>
      <c r="O13" s="26" t="s">
        <v>60</v>
      </c>
      <c r="P13" s="25">
        <v>20</v>
      </c>
      <c r="Q13" s="22" t="str">
        <f t="shared" si="0"/>
        <v>BC and DBM for VG40 bitumen20</v>
      </c>
      <c r="R13" s="25">
        <v>6000</v>
      </c>
    </row>
    <row r="14" spans="1:26" ht="30" customHeight="1" x14ac:dyDescent="0.3">
      <c r="D14" s="58" t="s">
        <v>116</v>
      </c>
      <c r="E14">
        <v>80</v>
      </c>
      <c r="O14" s="26" t="s">
        <v>60</v>
      </c>
      <c r="P14" s="25">
        <v>30</v>
      </c>
      <c r="Q14" s="22" t="str">
        <f t="shared" si="0"/>
        <v>BC and DBM for VG40 bitumen30</v>
      </c>
      <c r="R14" s="25">
        <v>4000</v>
      </c>
    </row>
    <row r="15" spans="1:26" ht="30" customHeight="1" x14ac:dyDescent="0.3">
      <c r="D15" s="58" t="s">
        <v>117</v>
      </c>
      <c r="E15">
        <v>80</v>
      </c>
      <c r="O15" s="26" t="s">
        <v>60</v>
      </c>
      <c r="P15" s="25">
        <v>35</v>
      </c>
      <c r="Q15" s="22" t="str">
        <f t="shared" si="0"/>
        <v>BC and DBM for VG40 bitumen35</v>
      </c>
      <c r="R15" s="25">
        <v>3000</v>
      </c>
    </row>
    <row r="16" spans="1:26" ht="30" customHeight="1" x14ac:dyDescent="0.3">
      <c r="D16" s="58" t="s">
        <v>118</v>
      </c>
      <c r="E16">
        <v>80</v>
      </c>
      <c r="O16" s="26" t="s">
        <v>60</v>
      </c>
      <c r="P16" s="25">
        <v>40</v>
      </c>
      <c r="Q16" s="22" t="str">
        <f t="shared" si="0"/>
        <v>BC and DBM for VG40 bitumen40</v>
      </c>
      <c r="R16" s="25">
        <v>2000</v>
      </c>
    </row>
    <row r="17" spans="15:18" ht="30" customHeight="1" x14ac:dyDescent="0.3">
      <c r="O17" s="26" t="s">
        <v>67</v>
      </c>
      <c r="P17" s="25">
        <v>20</v>
      </c>
      <c r="Q17" s="22" t="str">
        <f t="shared" si="0"/>
        <v>BC with Modified Bitumen20</v>
      </c>
      <c r="R17" s="25">
        <v>5700</v>
      </c>
    </row>
    <row r="18" spans="15:18" ht="30" customHeight="1" x14ac:dyDescent="0.3">
      <c r="O18" s="26" t="s">
        <v>67</v>
      </c>
      <c r="P18" s="25">
        <v>25</v>
      </c>
      <c r="Q18" s="22" t="str">
        <f t="shared" si="0"/>
        <v>BC with Modified Bitumen25</v>
      </c>
      <c r="R18" s="25">
        <v>3800</v>
      </c>
    </row>
    <row r="19" spans="15:18" ht="30" customHeight="1" x14ac:dyDescent="0.3">
      <c r="O19" s="26" t="s">
        <v>67</v>
      </c>
      <c r="P19" s="25">
        <v>30</v>
      </c>
      <c r="Q19" s="22" t="str">
        <f t="shared" si="0"/>
        <v>BC with Modified Bitumen30</v>
      </c>
      <c r="R19" s="25">
        <v>2400</v>
      </c>
    </row>
    <row r="20" spans="15:18" ht="30" customHeight="1" x14ac:dyDescent="0.3">
      <c r="O20" s="26" t="s">
        <v>67</v>
      </c>
      <c r="P20" s="25">
        <v>35</v>
      </c>
      <c r="Q20" s="22" t="str">
        <f t="shared" si="0"/>
        <v>BC with Modified Bitumen35</v>
      </c>
      <c r="R20" s="25">
        <v>1600</v>
      </c>
    </row>
    <row r="21" spans="15:18" ht="30" customHeight="1" x14ac:dyDescent="0.3">
      <c r="O21" s="26" t="s">
        <v>67</v>
      </c>
      <c r="P21" s="25">
        <v>40</v>
      </c>
      <c r="Q21" s="22" t="str">
        <f t="shared" si="0"/>
        <v>BC with Modified Bitumen40</v>
      </c>
      <c r="R21" s="25">
        <v>1300</v>
      </c>
    </row>
    <row r="22" spans="15:18" ht="30" customHeight="1" x14ac:dyDescent="0.3">
      <c r="O22" s="29" t="s">
        <v>61</v>
      </c>
      <c r="P22" s="25">
        <v>35</v>
      </c>
      <c r="Q22" s="22" t="str">
        <f t="shared" si="0"/>
        <v>BM with VG10 bitumen35</v>
      </c>
      <c r="R22" s="25">
        <v>500</v>
      </c>
    </row>
    <row r="23" spans="15:18" ht="30" customHeight="1" x14ac:dyDescent="0.3">
      <c r="O23" s="29" t="s">
        <v>62</v>
      </c>
      <c r="P23" s="25">
        <v>35</v>
      </c>
      <c r="Q23" s="22" t="str">
        <f t="shared" si="0"/>
        <v>BM with VG30 bitumen35</v>
      </c>
      <c r="R23" s="25">
        <v>700</v>
      </c>
    </row>
  </sheetData>
  <mergeCells count="15">
    <mergeCell ref="A1:B1"/>
    <mergeCell ref="E2:F2"/>
    <mergeCell ref="D2:D3"/>
    <mergeCell ref="D1:F1"/>
    <mergeCell ref="E8:F8"/>
    <mergeCell ref="H1:L1"/>
    <mergeCell ref="H4:H6"/>
    <mergeCell ref="K4:K6"/>
    <mergeCell ref="L4:L6"/>
    <mergeCell ref="E9:F9"/>
    <mergeCell ref="H7:H9"/>
    <mergeCell ref="K7:K9"/>
    <mergeCell ref="L7:L9"/>
    <mergeCell ref="I2:J2"/>
    <mergeCell ref="K2:L2"/>
  </mergeCells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716F-DB7C-4916-BA45-61DC958A4641}">
  <sheetPr codeName="Sheet3"/>
  <dimension ref="A1:O57"/>
  <sheetViews>
    <sheetView zoomScaleNormal="100" workbookViewId="0">
      <selection activeCell="H2" sqref="H2:H3"/>
    </sheetView>
  </sheetViews>
  <sheetFormatPr defaultRowHeight="14.4" x14ac:dyDescent="0.3"/>
  <cols>
    <col min="2" max="7" width="10.44140625" customWidth="1"/>
    <col min="8" max="8" width="11.21875" style="34" customWidth="1"/>
    <col min="9" max="9" width="16.5546875" style="34" customWidth="1"/>
    <col min="10" max="12" width="8.33203125" customWidth="1"/>
    <col min="13" max="13" width="8.6640625" customWidth="1"/>
    <col min="14" max="19" width="8.33203125" customWidth="1"/>
  </cols>
  <sheetData>
    <row r="1" spans="1:15" ht="20.399999999999999" customHeight="1" x14ac:dyDescent="0.35">
      <c r="A1" s="32"/>
      <c r="B1" s="141" t="s">
        <v>71</v>
      </c>
      <c r="C1" s="141" t="s">
        <v>72</v>
      </c>
      <c r="D1" s="144" t="s">
        <v>73</v>
      </c>
      <c r="E1" s="145"/>
      <c r="F1" s="145"/>
      <c r="G1" s="146"/>
      <c r="H1" s="35"/>
      <c r="I1" s="54"/>
      <c r="J1" s="32"/>
    </row>
    <row r="2" spans="1:15" x14ac:dyDescent="0.3">
      <c r="A2" s="140"/>
      <c r="B2" s="142"/>
      <c r="C2" s="142"/>
      <c r="D2" s="147" t="s">
        <v>74</v>
      </c>
      <c r="E2" s="148"/>
      <c r="F2" s="141" t="s">
        <v>75</v>
      </c>
      <c r="G2" s="141" t="s">
        <v>76</v>
      </c>
      <c r="H2" s="131" t="str">
        <f>IF(Pavement!B3&lt;=5,H4,IF(Pavement!B3=6,H10,IF(Pavement!B3=7,H16,IF(Pavement!B3=8,H22,IF(Pavement!B3=9,H28,IF(Pavement!B3=10,H34,IF(Pavement!B3&lt;=12,H40,IF(Pavement!B3=15,H46,""))))))))</f>
        <v>Plate6</v>
      </c>
      <c r="I2" s="136">
        <f>IF('Traffic Design'!C11&lt;10,5,IF('Traffic Design'!C11&lt;20,10,IF('Traffic Design'!C11&lt;30,10,IF('Traffic Design'!C11&lt;40,30,IF('Traffic Design'!C11&lt;50,40,IF('Traffic Design'!C11&gt;=50,50,""))))))</f>
        <v>10</v>
      </c>
      <c r="J2" s="133" t="str">
        <f>I2&amp;H2</f>
        <v>10Plate6</v>
      </c>
    </row>
    <row r="3" spans="1:15" ht="42" x14ac:dyDescent="0.3">
      <c r="A3" s="134"/>
      <c r="B3" s="143"/>
      <c r="C3" s="143"/>
      <c r="D3" s="57" t="s">
        <v>77</v>
      </c>
      <c r="E3" s="36" t="s">
        <v>78</v>
      </c>
      <c r="F3" s="143"/>
      <c r="G3" s="143"/>
      <c r="H3" s="132"/>
      <c r="I3" s="137"/>
      <c r="J3" s="134"/>
    </row>
    <row r="4" spans="1:15" x14ac:dyDescent="0.3">
      <c r="A4" s="32" t="str">
        <f>B4&amp;H4</f>
        <v>5Plate1</v>
      </c>
      <c r="B4" s="37">
        <v>5</v>
      </c>
      <c r="C4" s="38">
        <f t="shared" ref="C4:C45" si="0">D4+E4+F4+G4</f>
        <v>495</v>
      </c>
      <c r="D4" s="42">
        <v>30</v>
      </c>
      <c r="E4" s="45">
        <v>65</v>
      </c>
      <c r="F4" s="55">
        <v>250</v>
      </c>
      <c r="G4" s="56">
        <v>150</v>
      </c>
      <c r="H4" s="33" t="s">
        <v>87</v>
      </c>
      <c r="I4" s="139" t="s">
        <v>70</v>
      </c>
      <c r="J4" s="32"/>
    </row>
    <row r="5" spans="1:15" x14ac:dyDescent="0.3">
      <c r="A5" s="32" t="str">
        <f t="shared" ref="A5:A51" si="1">B5&amp;H4</f>
        <v>10Plate1</v>
      </c>
      <c r="B5" s="37">
        <v>10</v>
      </c>
      <c r="C5" s="38">
        <f t="shared" si="0"/>
        <v>570</v>
      </c>
      <c r="D5" s="38">
        <v>40</v>
      </c>
      <c r="E5" s="37">
        <v>80</v>
      </c>
      <c r="F5" s="40">
        <v>250</v>
      </c>
      <c r="G5" s="41">
        <v>200</v>
      </c>
      <c r="H5" s="33" t="s">
        <v>87</v>
      </c>
      <c r="I5" s="139"/>
      <c r="J5" s="32"/>
    </row>
    <row r="6" spans="1:15" x14ac:dyDescent="0.3">
      <c r="A6" s="32" t="str">
        <f t="shared" si="1"/>
        <v>20Plate1</v>
      </c>
      <c r="B6" s="37">
        <v>20</v>
      </c>
      <c r="C6" s="38">
        <f t="shared" si="0"/>
        <v>595</v>
      </c>
      <c r="D6" s="42">
        <v>40</v>
      </c>
      <c r="E6" s="43">
        <v>105</v>
      </c>
      <c r="F6" s="40">
        <v>250</v>
      </c>
      <c r="G6" s="41">
        <v>200</v>
      </c>
      <c r="H6" s="33" t="s">
        <v>87</v>
      </c>
      <c r="I6" s="139"/>
      <c r="J6" s="32"/>
    </row>
    <row r="7" spans="1:15" x14ac:dyDescent="0.3">
      <c r="A7" s="32" t="str">
        <f t="shared" si="1"/>
        <v>30Plate1</v>
      </c>
      <c r="B7" s="37">
        <v>30</v>
      </c>
      <c r="C7" s="38">
        <f t="shared" si="0"/>
        <v>605</v>
      </c>
      <c r="D7" s="38">
        <v>40</v>
      </c>
      <c r="E7" s="37">
        <v>115</v>
      </c>
      <c r="F7" s="40">
        <v>250</v>
      </c>
      <c r="G7" s="41">
        <v>200</v>
      </c>
      <c r="H7" s="33" t="s">
        <v>87</v>
      </c>
      <c r="I7" s="139"/>
      <c r="J7" s="32"/>
    </row>
    <row r="8" spans="1:15" x14ac:dyDescent="0.3">
      <c r="A8" s="32" t="str">
        <f t="shared" si="1"/>
        <v>40Plate1</v>
      </c>
      <c r="B8" s="37">
        <v>40</v>
      </c>
      <c r="C8" s="38">
        <f t="shared" si="0"/>
        <v>620</v>
      </c>
      <c r="D8" s="44">
        <v>40</v>
      </c>
      <c r="E8" s="45">
        <v>130</v>
      </c>
      <c r="F8" s="40">
        <v>250</v>
      </c>
      <c r="G8" s="41">
        <v>200</v>
      </c>
      <c r="H8" s="33" t="s">
        <v>87</v>
      </c>
      <c r="I8" s="139"/>
      <c r="J8" s="32"/>
      <c r="O8" s="3"/>
    </row>
    <row r="9" spans="1:15" x14ac:dyDescent="0.3">
      <c r="A9" s="32" t="str">
        <f t="shared" si="1"/>
        <v>50Plate1</v>
      </c>
      <c r="B9" s="37">
        <v>50</v>
      </c>
      <c r="C9" s="38">
        <f t="shared" si="0"/>
        <v>630</v>
      </c>
      <c r="D9" s="44">
        <v>40</v>
      </c>
      <c r="E9" s="45">
        <v>140</v>
      </c>
      <c r="F9" s="40">
        <v>250</v>
      </c>
      <c r="G9" s="41">
        <v>200</v>
      </c>
      <c r="H9" s="33" t="s">
        <v>87</v>
      </c>
      <c r="I9" s="139"/>
      <c r="J9" s="32"/>
    </row>
    <row r="10" spans="1:15" x14ac:dyDescent="0.3">
      <c r="A10" s="32" t="str">
        <f t="shared" si="1"/>
        <v>5Plate1</v>
      </c>
      <c r="B10" s="37">
        <v>5</v>
      </c>
      <c r="C10" s="38">
        <f t="shared" si="0"/>
        <v>490</v>
      </c>
      <c r="D10" s="39">
        <v>30</v>
      </c>
      <c r="E10" s="37">
        <v>60</v>
      </c>
      <c r="F10" s="40">
        <v>250</v>
      </c>
      <c r="G10" s="41">
        <v>150</v>
      </c>
      <c r="H10" s="33" t="s">
        <v>88</v>
      </c>
      <c r="I10" s="139" t="s">
        <v>79</v>
      </c>
      <c r="J10" s="32"/>
    </row>
    <row r="11" spans="1:15" x14ac:dyDescent="0.3">
      <c r="A11" s="32" t="str">
        <f t="shared" si="1"/>
        <v>10Plate2</v>
      </c>
      <c r="B11" s="37">
        <v>10</v>
      </c>
      <c r="C11" s="38">
        <f t="shared" si="0"/>
        <v>560</v>
      </c>
      <c r="D11" s="38">
        <v>40</v>
      </c>
      <c r="E11" s="37">
        <v>70</v>
      </c>
      <c r="F11" s="40">
        <v>250</v>
      </c>
      <c r="G11" s="41">
        <v>200</v>
      </c>
      <c r="H11" s="33" t="s">
        <v>88</v>
      </c>
      <c r="I11" s="139"/>
      <c r="J11" s="32"/>
    </row>
    <row r="12" spans="1:15" x14ac:dyDescent="0.3">
      <c r="A12" s="32" t="str">
        <f t="shared" si="1"/>
        <v>20Plate2</v>
      </c>
      <c r="B12" s="37">
        <v>20</v>
      </c>
      <c r="C12" s="38">
        <f t="shared" si="0"/>
        <v>585</v>
      </c>
      <c r="D12" s="42">
        <v>40</v>
      </c>
      <c r="E12" s="43">
        <v>95</v>
      </c>
      <c r="F12" s="40">
        <v>250</v>
      </c>
      <c r="G12" s="41">
        <v>200</v>
      </c>
      <c r="H12" s="33" t="s">
        <v>88</v>
      </c>
      <c r="I12" s="139"/>
      <c r="J12" s="32"/>
    </row>
    <row r="13" spans="1:15" x14ac:dyDescent="0.3">
      <c r="A13" s="32" t="str">
        <f t="shared" si="1"/>
        <v>30Plate2</v>
      </c>
      <c r="B13" s="37">
        <v>30</v>
      </c>
      <c r="C13" s="38">
        <f t="shared" si="0"/>
        <v>600</v>
      </c>
      <c r="D13" s="38">
        <v>40</v>
      </c>
      <c r="E13" s="37">
        <v>110</v>
      </c>
      <c r="F13" s="40">
        <v>250</v>
      </c>
      <c r="G13" s="41">
        <v>200</v>
      </c>
      <c r="H13" s="33" t="s">
        <v>88</v>
      </c>
      <c r="I13" s="139"/>
      <c r="J13" s="32"/>
    </row>
    <row r="14" spans="1:15" x14ac:dyDescent="0.3">
      <c r="A14" s="32" t="str">
        <f t="shared" si="1"/>
        <v>40Plate2</v>
      </c>
      <c r="B14" s="37">
        <v>40</v>
      </c>
      <c r="C14" s="38">
        <f t="shared" si="0"/>
        <v>610</v>
      </c>
      <c r="D14" s="44">
        <v>40</v>
      </c>
      <c r="E14" s="45">
        <v>120</v>
      </c>
      <c r="F14" s="40">
        <v>250</v>
      </c>
      <c r="G14" s="41">
        <v>200</v>
      </c>
      <c r="H14" s="33" t="s">
        <v>88</v>
      </c>
      <c r="I14" s="139"/>
      <c r="J14" s="32"/>
    </row>
    <row r="15" spans="1:15" x14ac:dyDescent="0.3">
      <c r="A15" s="32" t="str">
        <f t="shared" si="1"/>
        <v>50Plate2</v>
      </c>
      <c r="B15" s="37">
        <v>50</v>
      </c>
      <c r="C15" s="38">
        <f t="shared" si="0"/>
        <v>620</v>
      </c>
      <c r="D15" s="44">
        <v>40</v>
      </c>
      <c r="E15" s="45">
        <v>130</v>
      </c>
      <c r="F15" s="40">
        <v>250</v>
      </c>
      <c r="G15" s="41">
        <v>200</v>
      </c>
      <c r="H15" s="33" t="s">
        <v>88</v>
      </c>
      <c r="I15" s="139"/>
      <c r="J15" s="32"/>
    </row>
    <row r="16" spans="1:15" x14ac:dyDescent="0.3">
      <c r="A16" s="32" t="str">
        <f t="shared" si="1"/>
        <v>5Plate2</v>
      </c>
      <c r="B16" s="37">
        <v>5</v>
      </c>
      <c r="C16" s="38">
        <f t="shared" si="0"/>
        <v>480</v>
      </c>
      <c r="D16" s="39">
        <v>30</v>
      </c>
      <c r="E16" s="37">
        <v>50</v>
      </c>
      <c r="F16" s="40">
        <v>250</v>
      </c>
      <c r="G16" s="41">
        <v>150</v>
      </c>
      <c r="H16" s="33" t="s">
        <v>89</v>
      </c>
      <c r="I16" s="135" t="s">
        <v>80</v>
      </c>
      <c r="J16" s="32"/>
    </row>
    <row r="17" spans="1:10" x14ac:dyDescent="0.3">
      <c r="A17" s="32" t="str">
        <f t="shared" si="1"/>
        <v>10Plate3</v>
      </c>
      <c r="B17" s="37">
        <v>10</v>
      </c>
      <c r="C17" s="38">
        <f t="shared" si="0"/>
        <v>550</v>
      </c>
      <c r="D17" s="38">
        <v>30</v>
      </c>
      <c r="E17" s="37">
        <v>70</v>
      </c>
      <c r="F17" s="40">
        <v>250</v>
      </c>
      <c r="G17" s="41">
        <v>200</v>
      </c>
      <c r="H17" s="33" t="s">
        <v>89</v>
      </c>
      <c r="I17" s="135"/>
      <c r="J17" s="32"/>
    </row>
    <row r="18" spans="1:10" x14ac:dyDescent="0.3">
      <c r="A18" s="32" t="str">
        <f t="shared" si="1"/>
        <v>20Plate3</v>
      </c>
      <c r="B18" s="37">
        <v>20</v>
      </c>
      <c r="C18" s="38">
        <f t="shared" si="0"/>
        <v>580</v>
      </c>
      <c r="D18" s="42">
        <v>30</v>
      </c>
      <c r="E18" s="43">
        <v>100</v>
      </c>
      <c r="F18" s="40">
        <v>250</v>
      </c>
      <c r="G18" s="41">
        <v>200</v>
      </c>
      <c r="H18" s="33" t="s">
        <v>89</v>
      </c>
      <c r="I18" s="135"/>
      <c r="J18" s="32"/>
    </row>
    <row r="19" spans="1:10" x14ac:dyDescent="0.3">
      <c r="A19" s="32" t="str">
        <f t="shared" si="1"/>
        <v>30Plate3</v>
      </c>
      <c r="B19" s="37">
        <v>30</v>
      </c>
      <c r="C19" s="38">
        <f t="shared" si="0"/>
        <v>590</v>
      </c>
      <c r="D19" s="38">
        <v>40</v>
      </c>
      <c r="E19" s="37">
        <v>100</v>
      </c>
      <c r="F19" s="40">
        <v>250</v>
      </c>
      <c r="G19" s="41">
        <v>200</v>
      </c>
      <c r="H19" s="33" t="s">
        <v>89</v>
      </c>
      <c r="I19" s="135"/>
      <c r="J19" s="32"/>
    </row>
    <row r="20" spans="1:10" x14ac:dyDescent="0.3">
      <c r="A20" s="32" t="str">
        <f t="shared" si="1"/>
        <v>40Plate3</v>
      </c>
      <c r="B20" s="37">
        <v>40</v>
      </c>
      <c r="C20" s="38">
        <f t="shared" si="0"/>
        <v>605</v>
      </c>
      <c r="D20" s="44">
        <v>40</v>
      </c>
      <c r="E20" s="45">
        <v>115</v>
      </c>
      <c r="F20" s="40">
        <v>250</v>
      </c>
      <c r="G20" s="41">
        <v>200</v>
      </c>
      <c r="H20" s="33" t="s">
        <v>89</v>
      </c>
      <c r="I20" s="135"/>
      <c r="J20" s="32"/>
    </row>
    <row r="21" spans="1:10" x14ac:dyDescent="0.3">
      <c r="A21" s="32" t="str">
        <f t="shared" si="1"/>
        <v>50Plate3</v>
      </c>
      <c r="B21" s="37">
        <v>50</v>
      </c>
      <c r="C21" s="38">
        <f t="shared" si="0"/>
        <v>615</v>
      </c>
      <c r="D21" s="44">
        <v>40</v>
      </c>
      <c r="E21" s="45">
        <v>125</v>
      </c>
      <c r="F21" s="40">
        <v>250</v>
      </c>
      <c r="G21" s="41">
        <v>200</v>
      </c>
      <c r="H21" s="33" t="s">
        <v>89</v>
      </c>
      <c r="I21" s="135"/>
      <c r="J21" s="32"/>
    </row>
    <row r="22" spans="1:10" x14ac:dyDescent="0.3">
      <c r="A22" s="32" t="str">
        <f t="shared" si="1"/>
        <v>5Plate3</v>
      </c>
      <c r="B22" s="37">
        <v>5</v>
      </c>
      <c r="C22" s="38">
        <f t="shared" si="0"/>
        <v>480</v>
      </c>
      <c r="D22" s="39">
        <v>30</v>
      </c>
      <c r="E22" s="37">
        <v>50</v>
      </c>
      <c r="F22" s="40">
        <v>250</v>
      </c>
      <c r="G22" s="41">
        <v>150</v>
      </c>
      <c r="H22" s="33" t="s">
        <v>90</v>
      </c>
      <c r="I22" s="135" t="s">
        <v>81</v>
      </c>
      <c r="J22" s="32"/>
    </row>
    <row r="23" spans="1:10" x14ac:dyDescent="0.3">
      <c r="A23" s="32" t="str">
        <f t="shared" si="1"/>
        <v>10Plate4</v>
      </c>
      <c r="B23" s="37">
        <v>10</v>
      </c>
      <c r="C23" s="38">
        <f t="shared" si="0"/>
        <v>540</v>
      </c>
      <c r="D23" s="38">
        <v>30</v>
      </c>
      <c r="E23" s="37">
        <v>60</v>
      </c>
      <c r="F23" s="40">
        <v>250</v>
      </c>
      <c r="G23" s="41">
        <v>200</v>
      </c>
      <c r="H23" s="33" t="s">
        <v>90</v>
      </c>
      <c r="I23" s="135"/>
      <c r="J23" s="32"/>
    </row>
    <row r="24" spans="1:10" x14ac:dyDescent="0.3">
      <c r="A24" s="32" t="str">
        <f t="shared" si="1"/>
        <v>20Plate4</v>
      </c>
      <c r="B24" s="37">
        <v>20</v>
      </c>
      <c r="C24" s="38">
        <f t="shared" si="0"/>
        <v>570</v>
      </c>
      <c r="D24" s="42">
        <v>30</v>
      </c>
      <c r="E24" s="43">
        <v>90</v>
      </c>
      <c r="F24" s="40">
        <v>250</v>
      </c>
      <c r="G24" s="41">
        <v>200</v>
      </c>
      <c r="H24" s="33" t="s">
        <v>90</v>
      </c>
      <c r="I24" s="135"/>
      <c r="J24" s="32"/>
    </row>
    <row r="25" spans="1:10" x14ac:dyDescent="0.3">
      <c r="A25" s="32" t="str">
        <f t="shared" si="1"/>
        <v>30Plate4</v>
      </c>
      <c r="B25" s="37">
        <v>30</v>
      </c>
      <c r="C25" s="38">
        <f t="shared" si="0"/>
        <v>585</v>
      </c>
      <c r="D25" s="38">
        <v>40</v>
      </c>
      <c r="E25" s="37">
        <v>95</v>
      </c>
      <c r="F25" s="40">
        <v>250</v>
      </c>
      <c r="G25" s="41">
        <v>200</v>
      </c>
      <c r="H25" s="33" t="s">
        <v>90</v>
      </c>
      <c r="I25" s="135"/>
      <c r="J25" s="32"/>
    </row>
    <row r="26" spans="1:10" x14ac:dyDescent="0.3">
      <c r="A26" s="32" t="str">
        <f t="shared" si="1"/>
        <v>40Plate4</v>
      </c>
      <c r="B26" s="37">
        <v>40</v>
      </c>
      <c r="C26" s="38">
        <f t="shared" si="0"/>
        <v>595</v>
      </c>
      <c r="D26" s="44">
        <v>40</v>
      </c>
      <c r="E26" s="45">
        <v>105</v>
      </c>
      <c r="F26" s="40">
        <v>250</v>
      </c>
      <c r="G26" s="41">
        <v>200</v>
      </c>
      <c r="H26" s="33" t="s">
        <v>90</v>
      </c>
      <c r="I26" s="135"/>
      <c r="J26" s="32"/>
    </row>
    <row r="27" spans="1:10" x14ac:dyDescent="0.3">
      <c r="A27" s="32" t="str">
        <f t="shared" si="1"/>
        <v>50Plate4</v>
      </c>
      <c r="B27" s="37">
        <v>50</v>
      </c>
      <c r="C27" s="38">
        <f t="shared" si="0"/>
        <v>605</v>
      </c>
      <c r="D27" s="44">
        <v>40</v>
      </c>
      <c r="E27" s="45">
        <v>115</v>
      </c>
      <c r="F27" s="40">
        <v>250</v>
      </c>
      <c r="G27" s="41">
        <v>200</v>
      </c>
      <c r="H27" s="33" t="s">
        <v>90</v>
      </c>
      <c r="I27" s="135"/>
      <c r="J27" s="32"/>
    </row>
    <row r="28" spans="1:10" x14ac:dyDescent="0.3">
      <c r="A28" s="32" t="str">
        <f t="shared" si="1"/>
        <v>5Plate4</v>
      </c>
      <c r="B28" s="37">
        <v>5</v>
      </c>
      <c r="C28" s="38">
        <f t="shared" si="0"/>
        <v>480</v>
      </c>
      <c r="D28" s="39">
        <v>30</v>
      </c>
      <c r="E28" s="37">
        <v>50</v>
      </c>
      <c r="F28" s="40">
        <v>250</v>
      </c>
      <c r="G28" s="41">
        <v>150</v>
      </c>
      <c r="H28" s="33" t="s">
        <v>91</v>
      </c>
      <c r="I28" s="135" t="s">
        <v>82</v>
      </c>
      <c r="J28" s="32"/>
    </row>
    <row r="29" spans="1:10" x14ac:dyDescent="0.3">
      <c r="A29" s="32" t="str">
        <f t="shared" si="1"/>
        <v>10Plate5</v>
      </c>
      <c r="B29" s="37">
        <v>10</v>
      </c>
      <c r="C29" s="38">
        <f t="shared" si="0"/>
        <v>535</v>
      </c>
      <c r="D29" s="38">
        <v>30</v>
      </c>
      <c r="E29" s="37">
        <v>55</v>
      </c>
      <c r="F29" s="40">
        <v>250</v>
      </c>
      <c r="G29" s="41">
        <v>200</v>
      </c>
      <c r="H29" s="33" t="s">
        <v>91</v>
      </c>
      <c r="I29" s="135"/>
      <c r="J29" s="32"/>
    </row>
    <row r="30" spans="1:10" x14ac:dyDescent="0.3">
      <c r="A30" s="32" t="str">
        <f t="shared" si="1"/>
        <v>20Plate5</v>
      </c>
      <c r="B30" s="37">
        <v>20</v>
      </c>
      <c r="C30" s="38">
        <f t="shared" si="0"/>
        <v>565</v>
      </c>
      <c r="D30" s="42">
        <v>40</v>
      </c>
      <c r="E30" s="43">
        <v>75</v>
      </c>
      <c r="F30" s="40">
        <v>250</v>
      </c>
      <c r="G30" s="41">
        <v>200</v>
      </c>
      <c r="H30" s="33" t="s">
        <v>91</v>
      </c>
      <c r="I30" s="135"/>
      <c r="J30" s="32"/>
    </row>
    <row r="31" spans="1:10" x14ac:dyDescent="0.3">
      <c r="A31" s="32" t="str">
        <f t="shared" si="1"/>
        <v>30Plate5</v>
      </c>
      <c r="B31" s="37">
        <v>30</v>
      </c>
      <c r="C31" s="38">
        <f t="shared" si="0"/>
        <v>580</v>
      </c>
      <c r="D31" s="38">
        <v>40</v>
      </c>
      <c r="E31" s="37">
        <v>90</v>
      </c>
      <c r="F31" s="40">
        <v>250</v>
      </c>
      <c r="G31" s="41">
        <v>200</v>
      </c>
      <c r="H31" s="33" t="s">
        <v>91</v>
      </c>
      <c r="I31" s="135"/>
      <c r="J31" s="32"/>
    </row>
    <row r="32" spans="1:10" x14ac:dyDescent="0.3">
      <c r="A32" s="32" t="str">
        <f t="shared" si="1"/>
        <v>40Plate5</v>
      </c>
      <c r="B32" s="37">
        <v>40</v>
      </c>
      <c r="C32" s="38">
        <f t="shared" si="0"/>
        <v>590</v>
      </c>
      <c r="D32" s="44">
        <v>40</v>
      </c>
      <c r="E32" s="45">
        <v>100</v>
      </c>
      <c r="F32" s="40">
        <v>250</v>
      </c>
      <c r="G32" s="41">
        <v>200</v>
      </c>
      <c r="H32" s="33" t="s">
        <v>91</v>
      </c>
      <c r="I32" s="135"/>
      <c r="J32" s="32"/>
    </row>
    <row r="33" spans="1:10" x14ac:dyDescent="0.3">
      <c r="A33" s="32" t="str">
        <f t="shared" si="1"/>
        <v>50Plate5</v>
      </c>
      <c r="B33" s="37">
        <v>50</v>
      </c>
      <c r="C33" s="38">
        <f t="shared" si="0"/>
        <v>600</v>
      </c>
      <c r="D33" s="44">
        <v>40</v>
      </c>
      <c r="E33" s="45">
        <v>110</v>
      </c>
      <c r="F33" s="40">
        <v>250</v>
      </c>
      <c r="G33" s="41">
        <v>200</v>
      </c>
      <c r="H33" s="33" t="s">
        <v>91</v>
      </c>
      <c r="I33" s="135"/>
      <c r="J33" s="32"/>
    </row>
    <row r="34" spans="1:10" x14ac:dyDescent="0.3">
      <c r="A34" s="32" t="str">
        <f t="shared" si="1"/>
        <v>5Plate5</v>
      </c>
      <c r="B34" s="37">
        <v>5</v>
      </c>
      <c r="C34" s="38">
        <f t="shared" si="0"/>
        <v>480</v>
      </c>
      <c r="D34" s="39">
        <v>30</v>
      </c>
      <c r="E34" s="37">
        <v>50</v>
      </c>
      <c r="F34" s="40">
        <v>250</v>
      </c>
      <c r="G34" s="41">
        <v>150</v>
      </c>
      <c r="H34" s="33" t="s">
        <v>92</v>
      </c>
      <c r="I34" s="135" t="s">
        <v>83</v>
      </c>
      <c r="J34" s="32"/>
    </row>
    <row r="35" spans="1:10" x14ac:dyDescent="0.3">
      <c r="A35" s="32" t="str">
        <f t="shared" si="1"/>
        <v>10Plate6</v>
      </c>
      <c r="B35" s="37">
        <v>10</v>
      </c>
      <c r="C35" s="38">
        <f t="shared" si="0"/>
        <v>530</v>
      </c>
      <c r="D35" s="38">
        <v>30</v>
      </c>
      <c r="E35" s="37">
        <v>50</v>
      </c>
      <c r="F35" s="40">
        <v>250</v>
      </c>
      <c r="G35" s="41">
        <v>200</v>
      </c>
      <c r="H35" s="33" t="s">
        <v>92</v>
      </c>
      <c r="I35" s="135"/>
      <c r="J35" s="32"/>
    </row>
    <row r="36" spans="1:10" x14ac:dyDescent="0.3">
      <c r="A36" s="32" t="str">
        <f t="shared" si="1"/>
        <v>20Plate6</v>
      </c>
      <c r="B36" s="37">
        <v>20</v>
      </c>
      <c r="C36" s="38">
        <f t="shared" si="0"/>
        <v>560</v>
      </c>
      <c r="D36" s="42">
        <v>40</v>
      </c>
      <c r="E36" s="43">
        <v>70</v>
      </c>
      <c r="F36" s="40">
        <v>250</v>
      </c>
      <c r="G36" s="41">
        <v>200</v>
      </c>
      <c r="H36" s="33" t="s">
        <v>92</v>
      </c>
      <c r="I36" s="135"/>
      <c r="J36" s="32"/>
    </row>
    <row r="37" spans="1:10" x14ac:dyDescent="0.3">
      <c r="A37" s="32" t="str">
        <f t="shared" si="1"/>
        <v>30Plate6</v>
      </c>
      <c r="B37" s="37">
        <v>30</v>
      </c>
      <c r="C37" s="38">
        <f t="shared" si="0"/>
        <v>575</v>
      </c>
      <c r="D37" s="38">
        <v>40</v>
      </c>
      <c r="E37" s="37">
        <v>85</v>
      </c>
      <c r="F37" s="40">
        <v>250</v>
      </c>
      <c r="G37" s="41">
        <v>200</v>
      </c>
      <c r="H37" s="33" t="s">
        <v>92</v>
      </c>
      <c r="I37" s="135"/>
      <c r="J37" s="32"/>
    </row>
    <row r="38" spans="1:10" x14ac:dyDescent="0.3">
      <c r="A38" s="32" t="str">
        <f t="shared" si="1"/>
        <v>40Plate6</v>
      </c>
      <c r="B38" s="37">
        <v>40</v>
      </c>
      <c r="C38" s="38">
        <f t="shared" si="0"/>
        <v>585</v>
      </c>
      <c r="D38" s="44">
        <v>40</v>
      </c>
      <c r="E38" s="45">
        <v>95</v>
      </c>
      <c r="F38" s="40">
        <v>250</v>
      </c>
      <c r="G38" s="41">
        <v>200</v>
      </c>
      <c r="H38" s="33" t="s">
        <v>92</v>
      </c>
      <c r="I38" s="135"/>
      <c r="J38" s="32"/>
    </row>
    <row r="39" spans="1:10" x14ac:dyDescent="0.3">
      <c r="A39" s="32" t="str">
        <f t="shared" si="1"/>
        <v>50Plate6</v>
      </c>
      <c r="B39" s="37">
        <v>50</v>
      </c>
      <c r="C39" s="38">
        <f t="shared" si="0"/>
        <v>595</v>
      </c>
      <c r="D39" s="44">
        <v>40</v>
      </c>
      <c r="E39" s="45">
        <v>105</v>
      </c>
      <c r="F39" s="40">
        <v>250</v>
      </c>
      <c r="G39" s="41">
        <v>200</v>
      </c>
      <c r="H39" s="33" t="s">
        <v>92</v>
      </c>
      <c r="I39" s="135"/>
      <c r="J39" s="32"/>
    </row>
    <row r="40" spans="1:10" x14ac:dyDescent="0.3">
      <c r="A40" s="32" t="str">
        <f t="shared" si="1"/>
        <v>5Plate6</v>
      </c>
      <c r="B40" s="37">
        <v>5</v>
      </c>
      <c r="C40" s="38">
        <f t="shared" si="0"/>
        <v>480</v>
      </c>
      <c r="D40" s="39">
        <v>30</v>
      </c>
      <c r="E40" s="37">
        <v>50</v>
      </c>
      <c r="F40" s="40">
        <v>250</v>
      </c>
      <c r="G40" s="41">
        <v>150</v>
      </c>
      <c r="H40" s="33" t="s">
        <v>93</v>
      </c>
      <c r="I40" s="135" t="s">
        <v>84</v>
      </c>
      <c r="J40" s="32"/>
    </row>
    <row r="41" spans="1:10" x14ac:dyDescent="0.3">
      <c r="A41" s="32" t="str">
        <f t="shared" si="1"/>
        <v>10Plate7</v>
      </c>
      <c r="B41" s="37">
        <v>10</v>
      </c>
      <c r="C41" s="38">
        <f t="shared" si="0"/>
        <v>530</v>
      </c>
      <c r="D41" s="38">
        <v>30</v>
      </c>
      <c r="E41" s="37">
        <v>50</v>
      </c>
      <c r="F41" s="40">
        <v>250</v>
      </c>
      <c r="G41" s="41">
        <v>200</v>
      </c>
      <c r="H41" s="33" t="s">
        <v>93</v>
      </c>
      <c r="I41" s="135"/>
      <c r="J41" s="32"/>
    </row>
    <row r="42" spans="1:10" x14ac:dyDescent="0.3">
      <c r="A42" s="32" t="str">
        <f t="shared" si="1"/>
        <v>20Plate7</v>
      </c>
      <c r="B42" s="37">
        <v>20</v>
      </c>
      <c r="C42" s="38">
        <f t="shared" si="0"/>
        <v>545</v>
      </c>
      <c r="D42" s="42">
        <v>40</v>
      </c>
      <c r="E42" s="43">
        <v>55</v>
      </c>
      <c r="F42" s="40">
        <v>250</v>
      </c>
      <c r="G42" s="41">
        <v>200</v>
      </c>
      <c r="H42" s="33" t="s">
        <v>93</v>
      </c>
      <c r="I42" s="135"/>
      <c r="J42" s="32"/>
    </row>
    <row r="43" spans="1:10" x14ac:dyDescent="0.3">
      <c r="A43" s="32" t="str">
        <f t="shared" si="1"/>
        <v>30Plate7</v>
      </c>
      <c r="B43" s="37">
        <v>30</v>
      </c>
      <c r="C43" s="38">
        <f t="shared" si="0"/>
        <v>565</v>
      </c>
      <c r="D43" s="38">
        <v>40</v>
      </c>
      <c r="E43" s="37">
        <v>75</v>
      </c>
      <c r="F43" s="40">
        <v>250</v>
      </c>
      <c r="G43" s="41">
        <v>200</v>
      </c>
      <c r="H43" s="33" t="s">
        <v>93</v>
      </c>
      <c r="I43" s="135"/>
      <c r="J43" s="32"/>
    </row>
    <row r="44" spans="1:10" x14ac:dyDescent="0.3">
      <c r="A44" s="32" t="str">
        <f t="shared" si="1"/>
        <v>40Plate7</v>
      </c>
      <c r="B44" s="37">
        <v>40</v>
      </c>
      <c r="C44" s="38">
        <f t="shared" si="0"/>
        <v>580</v>
      </c>
      <c r="D44" s="44">
        <v>40</v>
      </c>
      <c r="E44" s="45">
        <v>90</v>
      </c>
      <c r="F44" s="40">
        <v>250</v>
      </c>
      <c r="G44" s="41">
        <v>200</v>
      </c>
      <c r="H44" s="33" t="s">
        <v>93</v>
      </c>
      <c r="I44" s="135"/>
      <c r="J44" s="32"/>
    </row>
    <row r="45" spans="1:10" x14ac:dyDescent="0.3">
      <c r="A45" s="32" t="str">
        <f t="shared" si="1"/>
        <v>50Plate7</v>
      </c>
      <c r="B45" s="37">
        <v>50</v>
      </c>
      <c r="C45" s="38">
        <f t="shared" si="0"/>
        <v>590</v>
      </c>
      <c r="D45" s="44">
        <v>40</v>
      </c>
      <c r="E45" s="45">
        <v>100</v>
      </c>
      <c r="F45" s="40">
        <v>250</v>
      </c>
      <c r="G45" s="41">
        <v>200</v>
      </c>
      <c r="H45" s="33" t="s">
        <v>93</v>
      </c>
      <c r="I45" s="135"/>
      <c r="J45" s="32"/>
    </row>
    <row r="46" spans="1:10" x14ac:dyDescent="0.3">
      <c r="A46" s="32" t="str">
        <f t="shared" si="1"/>
        <v>5Plate7</v>
      </c>
      <c r="B46" s="37">
        <v>5</v>
      </c>
      <c r="C46" s="38">
        <f t="shared" ref="C46:C51" si="2">D46+E46+F46+G46</f>
        <v>480</v>
      </c>
      <c r="D46" s="39">
        <v>30</v>
      </c>
      <c r="E46" s="37">
        <v>50</v>
      </c>
      <c r="F46" s="40">
        <v>250</v>
      </c>
      <c r="G46" s="41">
        <v>150</v>
      </c>
      <c r="H46" s="33" t="s">
        <v>94</v>
      </c>
      <c r="I46" s="135" t="s">
        <v>85</v>
      </c>
      <c r="J46" s="32"/>
    </row>
    <row r="47" spans="1:10" x14ac:dyDescent="0.3">
      <c r="A47" s="32" t="str">
        <f t="shared" si="1"/>
        <v>10Plate8</v>
      </c>
      <c r="B47" s="37">
        <v>10</v>
      </c>
      <c r="C47" s="38">
        <f t="shared" si="2"/>
        <v>530</v>
      </c>
      <c r="D47" s="38">
        <v>30</v>
      </c>
      <c r="E47" s="37">
        <v>50</v>
      </c>
      <c r="F47" s="40">
        <v>250</v>
      </c>
      <c r="G47" s="41">
        <v>200</v>
      </c>
      <c r="H47" s="33" t="s">
        <v>94</v>
      </c>
      <c r="I47" s="135"/>
      <c r="J47" s="32"/>
    </row>
    <row r="48" spans="1:10" x14ac:dyDescent="0.3">
      <c r="A48" s="32" t="str">
        <f t="shared" si="1"/>
        <v>20Plate8</v>
      </c>
      <c r="B48" s="37">
        <v>20</v>
      </c>
      <c r="C48" s="38">
        <f t="shared" si="2"/>
        <v>530</v>
      </c>
      <c r="D48" s="42">
        <v>30</v>
      </c>
      <c r="E48" s="43">
        <v>50</v>
      </c>
      <c r="F48" s="40">
        <v>250</v>
      </c>
      <c r="G48" s="41">
        <v>200</v>
      </c>
      <c r="H48" s="33" t="s">
        <v>94</v>
      </c>
      <c r="I48" s="135"/>
      <c r="J48" s="32"/>
    </row>
    <row r="49" spans="1:10" x14ac:dyDescent="0.3">
      <c r="A49" s="32" t="str">
        <f t="shared" si="1"/>
        <v>30Plate8</v>
      </c>
      <c r="B49" s="37">
        <v>30</v>
      </c>
      <c r="C49" s="38">
        <f t="shared" si="2"/>
        <v>555</v>
      </c>
      <c r="D49" s="38">
        <v>40</v>
      </c>
      <c r="E49" s="37">
        <v>65</v>
      </c>
      <c r="F49" s="40">
        <v>250</v>
      </c>
      <c r="G49" s="41">
        <v>200</v>
      </c>
      <c r="H49" s="33" t="s">
        <v>94</v>
      </c>
      <c r="I49" s="135"/>
      <c r="J49" s="32"/>
    </row>
    <row r="50" spans="1:10" x14ac:dyDescent="0.3">
      <c r="A50" s="32" t="str">
        <f t="shared" si="1"/>
        <v>40Plate8</v>
      </c>
      <c r="B50" s="37">
        <v>40</v>
      </c>
      <c r="C50" s="38">
        <f t="shared" si="2"/>
        <v>565</v>
      </c>
      <c r="D50" s="44">
        <v>40</v>
      </c>
      <c r="E50" s="45">
        <v>75</v>
      </c>
      <c r="F50" s="40">
        <v>250</v>
      </c>
      <c r="G50" s="41">
        <v>200</v>
      </c>
      <c r="H50" s="33" t="s">
        <v>94</v>
      </c>
      <c r="I50" s="135"/>
      <c r="J50" s="32"/>
    </row>
    <row r="51" spans="1:10" x14ac:dyDescent="0.3">
      <c r="A51" s="52" t="str">
        <f t="shared" si="1"/>
        <v>50Plate8</v>
      </c>
      <c r="B51" s="37">
        <v>50</v>
      </c>
      <c r="C51" s="38">
        <f t="shared" si="2"/>
        <v>575</v>
      </c>
      <c r="D51" s="44">
        <v>40</v>
      </c>
      <c r="E51" s="45">
        <v>85</v>
      </c>
      <c r="F51" s="40">
        <v>250</v>
      </c>
      <c r="G51" s="41">
        <v>200</v>
      </c>
      <c r="H51" s="53" t="s">
        <v>94</v>
      </c>
      <c r="I51" s="138"/>
      <c r="J51" s="32"/>
    </row>
    <row r="52" spans="1:10" x14ac:dyDescent="0.3">
      <c r="B52" s="46"/>
      <c r="C52" s="46"/>
      <c r="D52" s="46"/>
      <c r="E52" s="46"/>
      <c r="F52" s="46"/>
      <c r="G52" s="51"/>
      <c r="H52" s="50"/>
    </row>
    <row r="53" spans="1:10" x14ac:dyDescent="0.3">
      <c r="B53" s="47"/>
      <c r="C53" s="49"/>
      <c r="D53" s="49"/>
      <c r="E53" s="49"/>
      <c r="F53" s="49"/>
      <c r="G53" s="49"/>
      <c r="H53" s="48"/>
    </row>
    <row r="54" spans="1:10" x14ac:dyDescent="0.3">
      <c r="B54" s="47"/>
      <c r="C54" s="49"/>
      <c r="D54" s="49"/>
      <c r="E54" s="49"/>
      <c r="F54" s="49"/>
      <c r="G54" s="49"/>
      <c r="H54" s="48"/>
    </row>
    <row r="55" spans="1:10" x14ac:dyDescent="0.3">
      <c r="B55" s="47"/>
      <c r="C55" s="49"/>
      <c r="D55" s="49"/>
      <c r="E55" s="49"/>
      <c r="F55" s="49"/>
      <c r="G55" s="49"/>
      <c r="H55" s="48"/>
    </row>
    <row r="56" spans="1:10" x14ac:dyDescent="0.3">
      <c r="B56" s="47"/>
      <c r="C56" s="49"/>
      <c r="D56" s="49"/>
      <c r="E56" s="49"/>
      <c r="F56" s="49"/>
      <c r="G56" s="49"/>
      <c r="H56" s="48"/>
    </row>
    <row r="57" spans="1:10" x14ac:dyDescent="0.3">
      <c r="B57" s="47"/>
      <c r="C57" s="49"/>
      <c r="D57" s="49"/>
      <c r="E57" s="49"/>
      <c r="F57" s="49"/>
      <c r="G57" s="49"/>
      <c r="H57" s="48"/>
    </row>
  </sheetData>
  <protectedRanges>
    <protectedRange sqref="D46:G51" name="Range1_6"/>
    <protectedRange sqref="D10:G15" name="Range1_7"/>
    <protectedRange sqref="D16:G21" name="Range1_8"/>
    <protectedRange sqref="D22:G27" name="Range1_9"/>
    <protectedRange sqref="D28:G33" name="Range1_10"/>
    <protectedRange sqref="D34:G39" name="Range1_11"/>
    <protectedRange sqref="D40:G45" name="Range1_12"/>
  </protectedRanges>
  <mergeCells count="18">
    <mergeCell ref="A2:A3"/>
    <mergeCell ref="B1:B3"/>
    <mergeCell ref="C1:C3"/>
    <mergeCell ref="D1:G1"/>
    <mergeCell ref="D2:E2"/>
    <mergeCell ref="F2:F3"/>
    <mergeCell ref="G2:G3"/>
    <mergeCell ref="I40:I45"/>
    <mergeCell ref="I46:I51"/>
    <mergeCell ref="I10:I15"/>
    <mergeCell ref="I4:I9"/>
    <mergeCell ref="I16:I21"/>
    <mergeCell ref="H2:H3"/>
    <mergeCell ref="J2:J3"/>
    <mergeCell ref="I22:I27"/>
    <mergeCell ref="I28:I33"/>
    <mergeCell ref="I34:I39"/>
    <mergeCell ref="I2:I3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Traffic Design</vt:lpstr>
      <vt:lpstr>Pavement</vt:lpstr>
      <vt:lpstr>IITPAVE</vt:lpstr>
      <vt:lpstr>Report</vt:lpstr>
      <vt:lpstr>Data</vt:lpstr>
      <vt:lpstr>Plate</vt:lpstr>
      <vt:lpstr>IITPAVE!Print_Area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Raswanth</dc:creator>
  <cp:lastModifiedBy>Raswanth</cp:lastModifiedBy>
  <cp:lastPrinted>2022-11-30T13:19:44Z</cp:lastPrinted>
  <dcterms:created xsi:type="dcterms:W3CDTF">2022-06-01T05:50:06Z</dcterms:created>
  <dcterms:modified xsi:type="dcterms:W3CDTF">2022-11-30T13:21:44Z</dcterms:modified>
</cp:coreProperties>
</file>