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updateLinks="always" codeName="ЭтаКнига"/>
  <mc:AlternateContent xmlns:mc="http://schemas.openxmlformats.org/markup-compatibility/2006">
    <mc:Choice Requires="x15">
      <x15ac:absPath xmlns:x15ac="http://schemas.microsoft.com/office/spreadsheetml/2010/11/ac" url="D:\RoboDec\GitHub\kitchen_calculation_bot\files_excel\files_start\"/>
    </mc:Choice>
  </mc:AlternateContent>
  <xr:revisionPtr revIDLastSave="0" documentId="13_ncr:1_{D938C33F-064A-4C02-9ECE-323360D9AB76}" xr6:coauthVersionLast="47" xr6:coauthVersionMax="47" xr10:uidLastSave="{00000000-0000-0000-0000-000000000000}"/>
  <bookViews>
    <workbookView xWindow="345" yWindow="1290" windowWidth="21600" windowHeight="11385" xr2:uid="{00000000-000D-0000-FFFF-FFFF00000000}"/>
  </bookViews>
  <sheets>
    <sheet name="Спецификация" sheetId="1" r:id="rId1"/>
    <sheet name="Расчетный лист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8" i="1" l="1"/>
  <c r="D58" i="1"/>
  <c r="B69" i="2"/>
  <c r="A3" i="1"/>
  <c r="B3" i="1" s="1"/>
  <c r="B67" i="1"/>
  <c r="B62" i="1"/>
  <c r="E60" i="1"/>
  <c r="D60" i="1"/>
  <c r="C60" i="1"/>
  <c r="B66" i="2"/>
  <c r="D53" i="1" s="1"/>
  <c r="B65" i="2"/>
  <c r="D52" i="1" s="1"/>
  <c r="B64" i="2"/>
  <c r="D51" i="1" s="1"/>
  <c r="B63" i="2"/>
  <c r="D50" i="1" s="1"/>
  <c r="B60" i="2"/>
  <c r="B59" i="2"/>
  <c r="D46" i="1" s="1"/>
  <c r="B58" i="2"/>
  <c r="B57" i="2"/>
  <c r="D44" i="1" s="1"/>
  <c r="B4" i="2"/>
  <c r="B6" i="2"/>
  <c r="B67" i="2" s="1"/>
  <c r="D54" i="1" s="1"/>
  <c r="D53" i="2"/>
  <c r="C53" i="2"/>
  <c r="B53" i="2"/>
  <c r="E51" i="2"/>
  <c r="E50" i="2"/>
  <c r="E49" i="2"/>
  <c r="E48" i="2"/>
  <c r="E47" i="2"/>
  <c r="E46" i="2"/>
  <c r="E45" i="2"/>
  <c r="E44" i="2"/>
  <c r="D51" i="2"/>
  <c r="D50" i="2"/>
  <c r="D49" i="2"/>
  <c r="D48" i="2"/>
  <c r="D47" i="2"/>
  <c r="D46" i="2"/>
  <c r="D45" i="2"/>
  <c r="D44" i="2"/>
  <c r="C51" i="2"/>
  <c r="C50" i="2"/>
  <c r="C49" i="2"/>
  <c r="C48" i="2"/>
  <c r="C47" i="2"/>
  <c r="C46" i="2"/>
  <c r="C45" i="2"/>
  <c r="C44" i="2"/>
  <c r="B51" i="2"/>
  <c r="B50" i="2"/>
  <c r="B49" i="2"/>
  <c r="B48" i="2"/>
  <c r="B47" i="2"/>
  <c r="B46" i="2"/>
  <c r="B45" i="2"/>
  <c r="B44" i="2"/>
  <c r="B43" i="2"/>
  <c r="B37" i="2"/>
  <c r="D24" i="1"/>
  <c r="D23" i="1"/>
  <c r="F22" i="1"/>
  <c r="A22" i="1" s="1"/>
  <c r="D22" i="1"/>
  <c r="F21" i="1"/>
  <c r="A21" i="1" s="1"/>
  <c r="D21" i="1"/>
  <c r="F20" i="1"/>
  <c r="A20" i="1" s="1"/>
  <c r="D20" i="1"/>
  <c r="F17" i="1"/>
  <c r="A17" i="1" s="1"/>
  <c r="D17" i="1"/>
  <c r="F11" i="1"/>
  <c r="A11" i="1" s="1"/>
  <c r="D11" i="1"/>
  <c r="B6" i="1"/>
  <c r="F23" i="1" s="1"/>
  <c r="A23" i="1" s="1"/>
  <c r="F8" i="1"/>
  <c r="D8" i="1"/>
  <c r="D40" i="2"/>
  <c r="C40" i="2"/>
  <c r="B40" i="2"/>
  <c r="C39" i="2"/>
  <c r="F39" i="2" s="1"/>
  <c r="D38" i="2"/>
  <c r="C38" i="2"/>
  <c r="B38" i="2"/>
  <c r="E37" i="2"/>
  <c r="E36" i="2"/>
  <c r="D36" i="2"/>
  <c r="C36" i="2"/>
  <c r="B36" i="2"/>
  <c r="B19" i="2"/>
  <c r="E30" i="2" s="1"/>
  <c r="C30" i="2"/>
  <c r="B30" i="2"/>
  <c r="B24" i="2"/>
  <c r="D22" i="2"/>
  <c r="C22" i="2"/>
  <c r="B22" i="2"/>
  <c r="C21" i="2"/>
  <c r="B18" i="2"/>
  <c r="C25" i="2" s="1"/>
  <c r="B17" i="2"/>
  <c r="B25" i="2" s="1"/>
  <c r="B15" i="2"/>
  <c r="D30" i="2" s="1"/>
  <c r="B14" i="2"/>
  <c r="C23" i="2" s="1"/>
  <c r="B13" i="2"/>
  <c r="B23" i="2" s="1"/>
  <c r="B21" i="2"/>
  <c r="E23" i="2"/>
  <c r="B7" i="2"/>
  <c r="B5" i="2"/>
  <c r="B3" i="2"/>
  <c r="B4" i="1"/>
  <c r="F62" i="1"/>
  <c r="E53" i="2"/>
  <c r="E43" i="2"/>
  <c r="E40" i="2"/>
  <c r="E38" i="2"/>
  <c r="B2" i="1"/>
  <c r="B70" i="2" l="1"/>
  <c r="F56" i="1"/>
  <c r="A8" i="1"/>
  <c r="D23" i="2"/>
  <c r="B27" i="2" s="1"/>
  <c r="B28" i="2" s="1"/>
  <c r="F53" i="2"/>
  <c r="D42" i="1" s="1"/>
  <c r="F24" i="1"/>
  <c r="A24" i="1" s="1"/>
  <c r="B32" i="2"/>
  <c r="B33" i="2" s="1"/>
  <c r="F18" i="1" s="1"/>
  <c r="A18" i="1" s="1"/>
  <c r="C43" i="2"/>
  <c r="F60" i="1"/>
  <c r="D43" i="2"/>
  <c r="F38" i="2"/>
  <c r="D28" i="1" s="1"/>
  <c r="F40" i="2"/>
  <c r="F36" i="2"/>
  <c r="D27" i="1" s="1"/>
  <c r="F37" i="2"/>
  <c r="D26" i="1" s="1"/>
  <c r="F29" i="1"/>
  <c r="A29" i="1" s="1"/>
  <c r="B72" i="1"/>
  <c r="A58" i="1"/>
  <c r="D56" i="1"/>
  <c r="F45" i="1"/>
  <c r="A45" i="1" s="1"/>
  <c r="F50" i="1"/>
  <c r="F47" i="1"/>
  <c r="A47" i="1" s="1"/>
  <c r="F51" i="1"/>
  <c r="A51" i="1" s="1"/>
  <c r="F52" i="1"/>
  <c r="A52" i="1" s="1"/>
  <c r="F53" i="1"/>
  <c r="A53" i="1" s="1"/>
  <c r="F54" i="1"/>
  <c r="A54" i="1" s="1"/>
  <c r="D47" i="1"/>
  <c r="F44" i="1"/>
  <c r="D45" i="1"/>
  <c r="F46" i="1"/>
  <c r="A46" i="1" s="1"/>
  <c r="B56" i="2"/>
  <c r="F51" i="2"/>
  <c r="F48" i="2"/>
  <c r="F47" i="2"/>
  <c r="F50" i="2"/>
  <c r="F49" i="2"/>
  <c r="F44" i="2"/>
  <c r="G44" i="2" s="1"/>
  <c r="F33" i="1" s="1"/>
  <c r="A33" i="1" s="1"/>
  <c r="F46" i="2"/>
  <c r="G46" i="2" s="1"/>
  <c r="F35" i="1" s="1"/>
  <c r="A35" i="1" s="1"/>
  <c r="F45" i="2"/>
  <c r="G45" i="2" s="1"/>
  <c r="F34" i="1" s="1"/>
  <c r="A34" i="1" s="1"/>
  <c r="D57" i="1" l="1"/>
  <c r="F57" i="1"/>
  <c r="A57" i="1" s="1"/>
  <c r="D18" i="1"/>
  <c r="A60" i="1"/>
  <c r="A59" i="1"/>
  <c r="A44" i="1"/>
  <c r="A19" i="1"/>
  <c r="A56" i="1"/>
  <c r="A50" i="1"/>
  <c r="A49" i="1"/>
  <c r="B61" i="2"/>
  <c r="F48" i="1" s="1"/>
  <c r="A48" i="1" s="1"/>
  <c r="D29" i="1"/>
  <c r="F14" i="1"/>
  <c r="A14" i="1" s="1"/>
  <c r="D14" i="1"/>
  <c r="F42" i="1"/>
  <c r="F43" i="2"/>
  <c r="G43" i="2" s="1"/>
  <c r="F32" i="1" s="1"/>
  <c r="F39" i="1"/>
  <c r="A39" i="1" s="1"/>
  <c r="D39" i="1"/>
  <c r="F38" i="1"/>
  <c r="A38" i="1" s="1"/>
  <c r="D38" i="1"/>
  <c r="F36" i="1"/>
  <c r="A36" i="1" s="1"/>
  <c r="D36" i="1"/>
  <c r="F37" i="1"/>
  <c r="A37" i="1" s="1"/>
  <c r="D37" i="1"/>
  <c r="F40" i="1"/>
  <c r="A40" i="1" s="1"/>
  <c r="D40" i="1"/>
  <c r="D35" i="1"/>
  <c r="D34" i="1"/>
  <c r="D33" i="1"/>
  <c r="F30" i="1"/>
  <c r="A30" i="1" s="1"/>
  <c r="D30" i="1"/>
  <c r="F28" i="1"/>
  <c r="A28" i="1" s="1"/>
  <c r="F27" i="1"/>
  <c r="A27" i="1" s="1"/>
  <c r="F26" i="1"/>
  <c r="A55" i="1" l="1"/>
  <c r="A32" i="1"/>
  <c r="A31" i="1"/>
  <c r="D48" i="1"/>
  <c r="A43" i="1"/>
  <c r="A42" i="1"/>
  <c r="A41" i="1"/>
  <c r="A26" i="1"/>
  <c r="A25" i="1"/>
  <c r="F15" i="1"/>
  <c r="A15" i="1" s="1"/>
  <c r="D15" i="1"/>
  <c r="D16" i="1"/>
  <c r="F63" i="1"/>
  <c r="D32" i="1"/>
  <c r="D10" i="1"/>
  <c r="F9" i="1"/>
  <c r="D9" i="1"/>
  <c r="F12" i="1"/>
  <c r="A12" i="1" s="1"/>
  <c r="D12" i="1"/>
  <c r="D13" i="1"/>
  <c r="A9" i="1" l="1"/>
  <c r="F16" i="1"/>
  <c r="A16" i="1" s="1"/>
  <c r="F10" i="1"/>
  <c r="A10" i="1" s="1"/>
  <c r="F13" i="1"/>
  <c r="A13" i="1" s="1"/>
  <c r="A7" i="1" l="1"/>
  <c r="F61" i="1"/>
  <c r="F64" i="1" l="1"/>
  <c r="F6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Mebeolog</author>
  </authors>
  <commentList>
    <comment ref="B21" authorId="0" shapeId="0" xr:uid="{53C2EC8C-6161-40CF-BD3D-FBF887F7D00E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1" authorId="0" shapeId="0" xr:uid="{6EC0A8D4-E407-42F7-9075-A58B02DFA5EE}">
      <text>
        <r>
          <rPr>
            <sz val="9"/>
            <color indexed="81"/>
            <rFont val="Tahoma"/>
            <family val="2"/>
            <charset val="204"/>
          </rPr>
          <t>Горизонты пеналы</t>
        </r>
      </text>
    </comment>
    <comment ref="B22" authorId="0" shapeId="0" xr:uid="{05AD5A04-E160-4695-B9AB-62AFD1A7074A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2" authorId="0" shapeId="0" xr:uid="{379958A7-F24E-4913-BAA8-3BCDB27E5225}">
      <text>
        <r>
          <rPr>
            <sz val="9"/>
            <color indexed="81"/>
            <rFont val="Tahoma"/>
            <family val="2"/>
            <charset val="204"/>
          </rPr>
          <t>Горизонты</t>
        </r>
      </text>
    </comment>
    <comment ref="D22" authorId="0" shapeId="0" xr:uid="{949670FF-491E-48A7-BFFB-01EDFAED8C6D}">
      <text>
        <r>
          <rPr>
            <b/>
            <sz val="9"/>
            <color indexed="81"/>
            <rFont val="Tahoma"/>
            <family val="2"/>
            <charset val="204"/>
          </rPr>
          <t xml:space="preserve">Mebeolog
Горизонты внутри
</t>
        </r>
      </text>
    </comment>
    <comment ref="B23" authorId="0" shapeId="0" xr:uid="{5D5CBED9-4317-4279-BF27-763778271540}">
      <text>
        <r>
          <rPr>
            <sz val="9"/>
            <color indexed="81"/>
            <rFont val="Tahoma"/>
            <family val="2"/>
            <charset val="204"/>
          </rPr>
          <t xml:space="preserve">Боковины
</t>
        </r>
      </text>
    </comment>
    <comment ref="C23" authorId="0" shapeId="0" xr:uid="{94870C0D-B2CA-4675-8D6B-032404577372}">
      <text>
        <r>
          <rPr>
            <sz val="9"/>
            <color indexed="81"/>
            <rFont val="Tahoma"/>
            <family val="2"/>
            <charset val="204"/>
          </rPr>
          <t xml:space="preserve">Горизонты
</t>
        </r>
      </text>
    </comment>
    <comment ref="D23" authorId="0" shapeId="0" xr:uid="{E960FC7B-4FFC-4DD0-8AC7-3505A0CCA4FF}">
      <text>
        <r>
          <rPr>
            <sz val="9"/>
            <color indexed="81"/>
            <rFont val="Tahoma"/>
            <family val="2"/>
            <charset val="204"/>
          </rPr>
          <t>Горизонты внутри</t>
        </r>
      </text>
    </comment>
    <comment ref="E23" authorId="0" shapeId="0" xr:uid="{32A43650-7844-44C3-9FBE-10C8C4F285BB}">
      <text>
        <r>
          <rPr>
            <sz val="9"/>
            <color indexed="81"/>
            <rFont val="Tahoma"/>
            <family val="2"/>
            <charset val="204"/>
          </rPr>
          <t>Кол-во полок</t>
        </r>
      </text>
    </comment>
    <comment ref="B25" authorId="0" shapeId="0" xr:uid="{8496B8A0-3321-4ACF-9D5D-8F8AF5346840}">
      <text>
        <r>
          <rPr>
            <sz val="9"/>
            <color indexed="81"/>
            <rFont val="Tahoma"/>
            <family val="2"/>
            <charset val="204"/>
          </rPr>
          <t>Боковины</t>
        </r>
      </text>
    </comment>
    <comment ref="C25" authorId="0" shapeId="0" xr:uid="{8684CCDA-B119-4574-B897-2E9F7D0B7445}">
      <text>
        <r>
          <rPr>
            <sz val="9"/>
            <color indexed="81"/>
            <rFont val="Tahoma"/>
            <family val="2"/>
            <charset val="204"/>
          </rPr>
          <t>Горизонты</t>
        </r>
      </text>
    </comment>
    <comment ref="B30" authorId="0" shapeId="0" xr:uid="{E0E57E07-72E7-4EBD-A843-DBD375823FF7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C30" authorId="0" shapeId="0" xr:uid="{0E08A532-0304-4942-BA60-D8775A23A19A}">
      <text>
        <r>
          <rPr>
            <sz val="9"/>
            <color indexed="81"/>
            <rFont val="Tahoma"/>
            <family val="2"/>
            <charset val="204"/>
          </rPr>
          <t>Нижние модули</t>
        </r>
      </text>
    </comment>
    <comment ref="D30" authorId="0" shapeId="0" xr:uid="{F2442E56-C0AD-4664-A857-FCA7732BC792}">
      <text>
        <r>
          <rPr>
            <sz val="9"/>
            <color indexed="81"/>
            <rFont val="Tahoma"/>
            <family val="2"/>
            <charset val="204"/>
          </rPr>
          <t>Верхние модули</t>
        </r>
      </text>
    </comment>
    <comment ref="E30" authorId="0" shapeId="0" xr:uid="{AA74AA3A-82DD-4696-88D7-EE1199481933}">
      <text>
        <r>
          <rPr>
            <sz val="9"/>
            <color indexed="81"/>
            <rFont val="Tahoma"/>
            <family val="2"/>
            <charset val="204"/>
          </rPr>
          <t>Антресоли</t>
        </r>
      </text>
    </comment>
    <comment ref="B36" authorId="0" shapeId="0" xr:uid="{7C1993CA-FF59-485D-BD2D-E12C8450EA1F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36" authorId="0" shapeId="0" xr:uid="{AF546918-547A-4C22-ADDE-166298669FE8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36" authorId="0" shapeId="0" xr:uid="{F1D4D3E1-D126-4EC3-B4B0-140D122A4426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36" authorId="0" shapeId="0" xr:uid="{0404DED5-E863-4E46-BEA0-3DEDD0762202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37" authorId="0" shapeId="0" xr:uid="{B004B303-760A-410F-BC2C-75BCE522C22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E37" authorId="0" shapeId="0" xr:uid="{66611588-F396-4A56-9ECD-9775684263CC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38" authorId="0" shapeId="0" xr:uid="{F8031650-EF04-4FF1-A9B8-8BC9B6C052D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38" authorId="0" shapeId="0" xr:uid="{6B3D60F6-7882-437E-A48A-F80E37E8C500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38" authorId="0" shapeId="0" xr:uid="{05E85259-A53C-4034-A71C-9C15B062BA3B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38" authorId="0" shapeId="0" xr:uid="{844A6EFD-1A13-4F1C-858D-2C096B37793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C39" authorId="0" shapeId="0" xr:uid="{EB716730-434D-4D10-8907-ACF2ED02373C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B40" authorId="0" shapeId="0" xr:uid="{02040661-FE6B-40F4-A39E-C4EC2874974D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0" authorId="0" shapeId="0" xr:uid="{2164B3EF-322E-4A27-9EC2-DFAD95EFC6F2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0" authorId="0" shapeId="0" xr:uid="{55C74B0E-2802-41C5-8ECC-D8CF7D78F1C7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0" authorId="0" shapeId="0" xr:uid="{B0651A4F-E1E9-4265-9D94-4E8125377CF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3" authorId="0" shapeId="0" xr:uid="{AB8A2756-D167-420B-B82C-54706E0EFFC1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3" authorId="0" shapeId="0" xr:uid="{4BFC8639-639C-405B-AC3F-1D7E70AB4EAF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3" authorId="0" shapeId="0" xr:uid="{0266006F-5984-4362-97F9-98C6733C75EE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3" authorId="0" shapeId="0" xr:uid="{35F25B00-1095-42AB-94D9-E09C00DBCC2A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4" authorId="0" shapeId="0" xr:uid="{8BAAE58E-A012-478A-9BC8-49484B18BA6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4" authorId="0" shapeId="0" xr:uid="{682B21C6-AF93-4433-A0E2-6A4CD7064989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4" authorId="0" shapeId="0" xr:uid="{AE8AF903-2B97-407C-8C8F-576FFFFE09DC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4" authorId="0" shapeId="0" xr:uid="{CABB5DCB-0781-4470-9E5F-A17865E6666D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5" authorId="0" shapeId="0" xr:uid="{13269FDE-A23C-4416-B34E-D45DCC433C7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5" authorId="0" shapeId="0" xr:uid="{08F13C21-B1B3-4997-AC33-A8819BFE9C62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5" authorId="0" shapeId="0" xr:uid="{462513C1-8B06-4592-8DC4-C0901C86FD8F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5" authorId="0" shapeId="0" xr:uid="{04206741-754E-47E7-9E04-F61C963CBEE0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6" authorId="0" shapeId="0" xr:uid="{603D3B50-F2B2-4417-BF13-4CDE6EDD8983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6" authorId="0" shapeId="0" xr:uid="{3EC83E35-9314-459C-A482-395D797B4714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6" authorId="0" shapeId="0" xr:uid="{577FF0B7-3691-4E1F-936B-4C3800E174B7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6" authorId="0" shapeId="0" xr:uid="{5CA26D10-4BAA-412A-BFBE-B3BF3BE85016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7" authorId="0" shapeId="0" xr:uid="{E803BB63-D971-4876-A59B-3BE3B8AC6756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7" authorId="0" shapeId="0" xr:uid="{5E439216-1D87-49E1-8DDD-F4EE2F2B2078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7" authorId="0" shapeId="0" xr:uid="{1F042D61-BCC2-4C44-967B-67E47947BE71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7" authorId="0" shapeId="0" xr:uid="{1D52563B-3024-4185-8241-E0B67F72D6C9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8" authorId="0" shapeId="0" xr:uid="{D45CA513-3A91-4987-B5AA-F312371D28CD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8" authorId="0" shapeId="0" xr:uid="{190D5F3D-9996-451F-B719-2F9355921449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8" authorId="0" shapeId="0" xr:uid="{ABA407D6-FF6A-4537-8E5D-478E4C47837E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8" authorId="0" shapeId="0" xr:uid="{00FB08D5-E3AF-42FE-8D39-C19187DE72C3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49" authorId="0" shapeId="0" xr:uid="{FE31A164-DA60-4833-B5DE-11D1C151AECA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49" authorId="0" shapeId="0" xr:uid="{9EFAD5B4-483A-40E4-86A9-2A06EF765A6C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49" authorId="0" shapeId="0" xr:uid="{A0A3F704-92FD-4489-878C-509ECE9313A4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49" authorId="0" shapeId="0" xr:uid="{532EE3E8-B888-481C-A32C-9D3D40D8AD90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0" authorId="0" shapeId="0" xr:uid="{0B73AF28-713A-4818-8132-6509A816F203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0" authorId="0" shapeId="0" xr:uid="{85F3070E-E41C-49A8-A5C7-DF44B828407D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0" authorId="0" shapeId="0" xr:uid="{7A43B5B1-BEAD-44F5-B313-F8E6C0982E41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0" authorId="0" shapeId="0" xr:uid="{C8C4C739-A382-4B93-9AAD-765040BA74D8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1" authorId="0" shapeId="0" xr:uid="{6BC5760A-0021-485C-AB68-973DC7A5CA2E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1" authorId="0" shapeId="0" xr:uid="{EF16B6B1-9C15-4680-8874-E525B7792E85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1" authorId="0" shapeId="0" xr:uid="{7AFC4B7A-0817-4573-AC3F-2AD3D0478ABC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1" authorId="0" shapeId="0" xr:uid="{B51F36F7-3B6E-420C-9060-AD70878E2D1E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  <comment ref="B53" authorId="0" shapeId="0" xr:uid="{BFC20AED-80AC-49C3-84D9-98F38A9895B9}">
      <text>
        <r>
          <rPr>
            <sz val="9"/>
            <color indexed="81"/>
            <rFont val="Tahoma"/>
            <family val="2"/>
            <charset val="204"/>
          </rPr>
          <t>Низ</t>
        </r>
      </text>
    </comment>
    <comment ref="C53" authorId="0" shapeId="0" xr:uid="{1B433AA7-723C-4B16-AEFB-4B7F695054DD}">
      <text>
        <r>
          <rPr>
            <sz val="9"/>
            <color indexed="81"/>
            <rFont val="Tahoma"/>
            <family val="2"/>
            <charset val="204"/>
          </rPr>
          <t>Верх</t>
        </r>
      </text>
    </comment>
    <comment ref="D53" authorId="0" shapeId="0" xr:uid="{F477A62D-9539-4E40-833D-38185ED1196B}">
      <text>
        <r>
          <rPr>
            <sz val="9"/>
            <color indexed="81"/>
            <rFont val="Tahoma"/>
            <family val="2"/>
            <charset val="204"/>
          </rPr>
          <t>Антресоль</t>
        </r>
      </text>
    </comment>
    <comment ref="E53" authorId="0" shapeId="0" xr:uid="{6FC173B0-2F0A-4733-93F2-452C13B4F2F3}">
      <text>
        <r>
          <rPr>
            <sz val="9"/>
            <color indexed="81"/>
            <rFont val="Tahoma"/>
            <family val="2"/>
            <charset val="204"/>
          </rPr>
          <t>Пеналы</t>
        </r>
      </text>
    </comment>
  </commentList>
</comments>
</file>

<file path=xl/sharedStrings.xml><?xml version="1.0" encoding="utf-8"?>
<sst xmlns="http://schemas.openxmlformats.org/spreadsheetml/2006/main" count="211" uniqueCount="127">
  <si>
    <t>Наименование</t>
  </si>
  <si>
    <t>Цена</t>
  </si>
  <si>
    <t>Итого стоимость изделия:</t>
  </si>
  <si>
    <t>-</t>
  </si>
  <si>
    <t>Корпус</t>
  </si>
  <si>
    <t>Информация</t>
  </si>
  <si>
    <t>Дополнительные услуги при доставке(пронос,подъем, не габарит):</t>
  </si>
  <si>
    <t>Монтаж:</t>
  </si>
  <si>
    <t>Итого:</t>
  </si>
  <si>
    <t>Дополнения:</t>
  </si>
  <si>
    <t>2. В случае если утверждение документов происходит более чем 10 рабочих дней после подписания договора по инициативе заказчика, срок изготовления продукции может измениться в большую сторону, о чем обязуется уведомить заказчика по электронной почте.</t>
  </si>
  <si>
    <t>Количество</t>
  </si>
  <si>
    <t>ЛДСП 16 мм</t>
  </si>
  <si>
    <t>Стандарт</t>
  </si>
  <si>
    <t>Соединительная фурнитура</t>
  </si>
  <si>
    <t>Под цвет ЛДСП</t>
  </si>
  <si>
    <t>ЛДСП 16 мм Egger</t>
  </si>
  <si>
    <t>Egger</t>
  </si>
  <si>
    <t>Кромка ABS 0,4/1/2 мм - Egger</t>
  </si>
  <si>
    <t>Под цвет ЛДСП - Egger</t>
  </si>
  <si>
    <t>Кромка ABS 0,4/1/2 мм</t>
  </si>
  <si>
    <t xml:space="preserve">ЛМДФ 16 мм </t>
  </si>
  <si>
    <t>Белый</t>
  </si>
  <si>
    <t>Кромка под ЛМДФ 0,4/1/2 мм</t>
  </si>
  <si>
    <t>Под цвет ЛМДФ - Белый</t>
  </si>
  <si>
    <t>ХДФ (Задняя стенка) - Цветной</t>
  </si>
  <si>
    <t>Цветной</t>
  </si>
  <si>
    <t>ХДФ (Задняя стенка) - Белый</t>
  </si>
  <si>
    <t>Выдвижные элементы</t>
  </si>
  <si>
    <t>Ящик ПВ без доводчиков</t>
  </si>
  <si>
    <t>Ящик скрытого монтажа (Стандарт)</t>
  </si>
  <si>
    <t>Ящик скрытого монтажа (Hettich)</t>
  </si>
  <si>
    <t>Ящик скрытого монтажа (Blum)</t>
  </si>
  <si>
    <t>Без доводчиков</t>
  </si>
  <si>
    <t>С доводчиками/Push</t>
  </si>
  <si>
    <t>ЛДСП 16 мм (стандарт)</t>
  </si>
  <si>
    <t>ЛДСП 16 мм - Egger</t>
  </si>
  <si>
    <t>Пластик 16 мм</t>
  </si>
  <si>
    <t>Пластик AGT</t>
  </si>
  <si>
    <t>ЛМДФ пленка ПВХ (стандарт)</t>
  </si>
  <si>
    <t>ЛМДФ пленка ПВХ (филенка)</t>
  </si>
  <si>
    <t>Аксессуары к распашным дверям</t>
  </si>
  <si>
    <t>Петля с доводчиком</t>
  </si>
  <si>
    <t>Единица подсветки (трансформатор,…)</t>
  </si>
  <si>
    <t>Подсветка врезная</t>
  </si>
  <si>
    <t>Подсветка накладная</t>
  </si>
  <si>
    <t>Освещение / электрика</t>
  </si>
  <si>
    <t>Фасады</t>
  </si>
  <si>
    <t>Столешница Slotex</t>
  </si>
  <si>
    <t>ЛМДФ Краска матовая (филенка)</t>
  </si>
  <si>
    <t>ЛМДФ Краска глянец</t>
  </si>
  <si>
    <t>Дополнительные позиции</t>
  </si>
  <si>
    <t>С доводчиком</t>
  </si>
  <si>
    <t>СКИФ</t>
  </si>
  <si>
    <t>Slotex</t>
  </si>
  <si>
    <t>Набор</t>
  </si>
  <si>
    <t>Светодиодная</t>
  </si>
  <si>
    <t>ЛМДФ Краска матовая или лак (стандарт)</t>
  </si>
  <si>
    <t>ЛДСП (Пеналы)</t>
  </si>
  <si>
    <t xml:space="preserve">ЛДСП (Нижние модули) </t>
  </si>
  <si>
    <t>ЛДСП (Верхние модули)</t>
  </si>
  <si>
    <t>ЛДСП (Ящики)</t>
  </si>
  <si>
    <t>Общее ЛДСП м2</t>
  </si>
  <si>
    <t>Количество листов</t>
  </si>
  <si>
    <t>Корпус:</t>
  </si>
  <si>
    <t>ЛДСП (Антресоли)</t>
  </si>
  <si>
    <t>Задняя стенка (ХДФ)</t>
  </si>
  <si>
    <t>Общее ХДФ</t>
  </si>
  <si>
    <t xml:space="preserve">ОБЩАЯ ДЛИНА </t>
  </si>
  <si>
    <t>Ручка Gola</t>
  </si>
  <si>
    <t>Открытие фасадов</t>
  </si>
  <si>
    <t>Ручка стандарт (релинг)</t>
  </si>
  <si>
    <t>Push</t>
  </si>
  <si>
    <t>Свес для открытия снизу</t>
  </si>
  <si>
    <t>Сверловка под ручки клиента</t>
  </si>
  <si>
    <t xml:space="preserve">Бутылочницы до 200 мм </t>
  </si>
  <si>
    <t>Ручки стандарт</t>
  </si>
  <si>
    <t>Ручка GOLA</t>
  </si>
  <si>
    <t xml:space="preserve">Свес снизу </t>
  </si>
  <si>
    <t>Сверловка</t>
  </si>
  <si>
    <t>ОБЩЕЕ</t>
  </si>
  <si>
    <t>Хром матовый</t>
  </si>
  <si>
    <t>ФАСАДЫ</t>
  </si>
  <si>
    <t>ЛДСП СТАНДАРТ</t>
  </si>
  <si>
    <t xml:space="preserve">ЛДСП EGGER </t>
  </si>
  <si>
    <t>ПЛАСТИК СТАНДАРТ</t>
  </si>
  <si>
    <t>ПЛАСТИК AGT</t>
  </si>
  <si>
    <t>ПЛЕНКА ПВХ СТАНДАРТ</t>
  </si>
  <si>
    <t>ПЛЕНКА ПВХ ФРЕЗА</t>
  </si>
  <si>
    <t>ЭМАЛЬ СТАНДАРТ</t>
  </si>
  <si>
    <t>ЭМАЛЬ ФРЕЗА</t>
  </si>
  <si>
    <t>ШИРИНА ФАСАДОВ ПЕНАЛОВ</t>
  </si>
  <si>
    <t>МИНУС НИЗ УГОЛ ФАСАДЫ</t>
  </si>
  <si>
    <t>МИНУС ВЕРХ УГОЛ ФАСАДЫ</t>
  </si>
  <si>
    <t>ЛИСТОВ</t>
  </si>
  <si>
    <t>Столешница</t>
  </si>
  <si>
    <t>Стеновая панель</t>
  </si>
  <si>
    <t>Столешница компакт-ламинат</t>
  </si>
  <si>
    <t>Столешница акрил</t>
  </si>
  <si>
    <t>Стеновая Slotex</t>
  </si>
  <si>
    <t>Стеновая компакт-ламинат</t>
  </si>
  <si>
    <t>Стеновая акрил</t>
  </si>
  <si>
    <t>Петли</t>
  </si>
  <si>
    <t>СТОЛЕШНИЦЫ</t>
  </si>
  <si>
    <t>СКИФ 3000</t>
  </si>
  <si>
    <t>СКИФ 4200</t>
  </si>
  <si>
    <t>Компакт ламинат</t>
  </si>
  <si>
    <t>Акрил</t>
  </si>
  <si>
    <t>ДЛИНА СТОЛЕШКИ</t>
  </si>
  <si>
    <t>СТЕНОВАЯ ПАНЕЛЬ</t>
  </si>
  <si>
    <t>Столешница СКИФ 3000</t>
  </si>
  <si>
    <t>Столешница СКИФ 4200</t>
  </si>
  <si>
    <t>Стеновая СКИФ 3000</t>
  </si>
  <si>
    <t>Стеновая СКИФ 4200</t>
  </si>
  <si>
    <t>Подсветка</t>
  </si>
  <si>
    <t>Длина подсветки</t>
  </si>
  <si>
    <t>Холодильник</t>
  </si>
  <si>
    <t>Низ бок</t>
  </si>
  <si>
    <t>Низ горизонт</t>
  </si>
  <si>
    <t>Верх бок</t>
  </si>
  <si>
    <t>Верх горизонт</t>
  </si>
  <si>
    <t>Антресоль бок</t>
  </si>
  <si>
    <t>Антресоль горизонт</t>
  </si>
  <si>
    <t>Низ зад/фасад</t>
  </si>
  <si>
    <t>Верх зад/фасад</t>
  </si>
  <si>
    <t>Антресоль зад/фасад</t>
  </si>
  <si>
    <t>ЭМАЛЬ ГЛЯНЕЦ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</si>
</sst>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2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  <charset val="204"/>
    </font>
    <font>
      <b/>
      <sz val="8"/>
      <color theme="1"/>
      <name val="Arial"/>
      <family val="2"/>
      <charset val="204"/>
    </font>
    <font>
      <sz val="8"/>
      <name val="Arial"/>
      <family val="2"/>
      <charset val="204"/>
    </font>
    <font>
      <sz val="8"/>
      <name val="Calibri"/>
      <family val="2"/>
      <scheme val="minor"/>
    </font>
    <font>
      <b/>
      <sz val="12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b/>
      <sz val="5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6"/>
      <color theme="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6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Protection="1">
      <protection hidden="1"/>
    </xf>
    <xf numFmtId="0" fontId="1" fillId="0" borderId="0" xfId="0" applyFont="1"/>
    <xf numFmtId="0" fontId="1" fillId="0" borderId="0" xfId="0" applyNumberFormat="1" applyFont="1" applyAlignment="1">
      <alignment vertical="top" wrapText="1"/>
    </xf>
    <xf numFmtId="0" fontId="7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left" vertical="center"/>
      <protection hidden="1"/>
    </xf>
    <xf numFmtId="0" fontId="3" fillId="0" borderId="1" xfId="0" applyFont="1" applyBorder="1" applyAlignment="1" applyProtection="1">
      <alignment horizontal="center" vertical="center"/>
      <protection hidden="1"/>
    </xf>
    <xf numFmtId="3" fontId="3" fillId="0" borderId="1" xfId="0" applyNumberFormat="1" applyFont="1" applyBorder="1" applyAlignment="1" applyProtection="1">
      <alignment horizontal="center" vertical="center"/>
      <protection hidden="1"/>
    </xf>
    <xf numFmtId="49" fontId="3" fillId="0" borderId="1" xfId="0" applyNumberFormat="1" applyFont="1" applyBorder="1" applyAlignment="1" applyProtection="1">
      <alignment horizontal="left" vertical="center"/>
      <protection hidden="1"/>
    </xf>
    <xf numFmtId="3" fontId="1" fillId="0" borderId="1" xfId="0" applyNumberFormat="1" applyFont="1" applyBorder="1" applyAlignment="1">
      <alignment horizontal="center"/>
    </xf>
    <xf numFmtId="3" fontId="3" fillId="0" borderId="1" xfId="0" applyNumberFormat="1" applyFont="1" applyFill="1" applyBorder="1" applyAlignment="1">
      <alignment horizontal="center"/>
    </xf>
    <xf numFmtId="3" fontId="2" fillId="0" borderId="0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 applyProtection="1">
      <alignment horizontal="center"/>
      <protection hidden="1"/>
    </xf>
    <xf numFmtId="0" fontId="8" fillId="5" borderId="0" xfId="0" applyFont="1" applyFill="1"/>
    <xf numFmtId="0" fontId="8" fillId="0" borderId="0" xfId="0" applyFont="1" applyFill="1"/>
    <xf numFmtId="0" fontId="0" fillId="0" borderId="0" xfId="0" applyFill="1" applyBorder="1" applyAlignment="1">
      <alignment horizontal="center"/>
    </xf>
    <xf numFmtId="0" fontId="0" fillId="6" borderId="0" xfId="0" applyFill="1"/>
    <xf numFmtId="0" fontId="0" fillId="5" borderId="2" xfId="0" applyFill="1" applyBorder="1"/>
    <xf numFmtId="0" fontId="0" fillId="5" borderId="2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0" borderId="0" xfId="0" applyFill="1"/>
    <xf numFmtId="0" fontId="1" fillId="0" borderId="0" xfId="0" applyFont="1" applyAlignment="1"/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 vertical="center"/>
    </xf>
    <xf numFmtId="0" fontId="11" fillId="2" borderId="0" xfId="0" applyFont="1" applyFill="1" applyAlignment="1" applyProtection="1">
      <alignment horizontal="center"/>
      <protection hidden="1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64" fontId="6" fillId="0" borderId="0" xfId="0" applyNumberFormat="1" applyFont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1" fillId="0" borderId="0" xfId="0" applyNumberFormat="1" applyFont="1" applyAlignment="1">
      <alignment horizontal="left" vertical="center" wrapText="1"/>
    </xf>
    <xf numFmtId="0" fontId="1" fillId="0" borderId="1" xfId="0" applyFont="1" applyBorder="1" applyAlignment="1">
      <alignment horizontal="righ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center" wrapText="1"/>
    </xf>
    <xf numFmtId="0" fontId="2" fillId="0" borderId="0" xfId="0" applyFont="1" applyBorder="1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B34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tvet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i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4">
          <cell r="B14" t="str">
            <v>Укажите кол-во бочин пеналов в фасадном материале: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5">
          <cell r="B5">
            <v>3410</v>
          </cell>
        </row>
        <row r="6">
          <cell r="B6">
            <v>4458</v>
          </cell>
        </row>
        <row r="7">
          <cell r="B7">
            <v>4602</v>
          </cell>
        </row>
        <row r="8">
          <cell r="B8">
            <v>1059</v>
          </cell>
        </row>
        <row r="9">
          <cell r="B9">
            <v>1649</v>
          </cell>
        </row>
        <row r="11">
          <cell r="B11">
            <v>412</v>
          </cell>
        </row>
        <row r="12">
          <cell r="B12">
            <v>1669</v>
          </cell>
        </row>
        <row r="13">
          <cell r="B13">
            <v>2650</v>
          </cell>
        </row>
        <row r="15">
          <cell r="B15">
            <v>3890</v>
          </cell>
        </row>
        <row r="17">
          <cell r="B17">
            <v>2640</v>
          </cell>
        </row>
        <row r="18">
          <cell r="B18">
            <v>255</v>
          </cell>
        </row>
        <row r="19">
          <cell r="B19">
            <v>440</v>
          </cell>
        </row>
        <row r="20">
          <cell r="B20">
            <v>150</v>
          </cell>
        </row>
        <row r="21">
          <cell r="B21">
            <v>100</v>
          </cell>
        </row>
        <row r="23">
          <cell r="B23">
            <v>3410</v>
          </cell>
        </row>
        <row r="24">
          <cell r="B24">
            <v>4458</v>
          </cell>
        </row>
        <row r="25">
          <cell r="B25">
            <v>6540</v>
          </cell>
        </row>
        <row r="26">
          <cell r="B26">
            <v>11240</v>
          </cell>
        </row>
        <row r="27">
          <cell r="B27">
            <v>5100</v>
          </cell>
        </row>
        <row r="28">
          <cell r="B28">
            <v>6300</v>
          </cell>
        </row>
        <row r="29">
          <cell r="B29">
            <v>7800</v>
          </cell>
        </row>
        <row r="30">
          <cell r="B30">
            <v>9000</v>
          </cell>
        </row>
        <row r="31">
          <cell r="B31">
            <v>10000</v>
          </cell>
        </row>
        <row r="33">
          <cell r="B33">
            <v>315</v>
          </cell>
        </row>
        <row r="35">
          <cell r="B35">
            <v>3964</v>
          </cell>
        </row>
        <row r="36">
          <cell r="B36">
            <v>4500</v>
          </cell>
        </row>
        <row r="37">
          <cell r="B37">
            <v>10047</v>
          </cell>
        </row>
        <row r="38">
          <cell r="B38">
            <v>23100</v>
          </cell>
        </row>
        <row r="39">
          <cell r="B39">
            <v>14560</v>
          </cell>
        </row>
        <row r="41">
          <cell r="B41">
            <v>3964</v>
          </cell>
        </row>
        <row r="42">
          <cell r="B42">
            <v>4500</v>
          </cell>
        </row>
        <row r="43">
          <cell r="B43">
            <v>10047</v>
          </cell>
        </row>
        <row r="44">
          <cell r="B44">
            <v>23100</v>
          </cell>
        </row>
        <row r="45">
          <cell r="B45">
            <v>13560</v>
          </cell>
        </row>
        <row r="47">
          <cell r="B47">
            <v>1750</v>
          </cell>
        </row>
        <row r="48">
          <cell r="B48">
            <v>800</v>
          </cell>
        </row>
        <row r="49">
          <cell r="B49">
            <v>400</v>
          </cell>
        </row>
        <row r="51">
          <cell r="B51">
            <v>3500</v>
          </cell>
        </row>
        <row r="52">
          <cell r="B52">
            <v>50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G73"/>
  <sheetViews>
    <sheetView tabSelected="1" topLeftCell="D1" zoomScale="175" zoomScaleNormal="175" workbookViewId="0">
      <selection activeCell="B59" sqref="B59:F59"/>
    </sheetView>
  </sheetViews>
  <sheetFormatPr defaultColWidth="0" defaultRowHeight="11.25" x14ac:dyDescent="0.2"/>
  <cols>
    <col min="1" max="1" width="2.42578125" style="28" customWidth="1"/>
    <col min="2" max="2" width="3.7109375" style="3" customWidth="1"/>
    <col min="3" max="3" width="31.28515625" style="3" customWidth="1"/>
    <col min="4" max="4" width="13" style="3" customWidth="1"/>
    <col min="5" max="5" width="32" style="3" customWidth="1"/>
    <col min="6" max="6" width="14" style="3" customWidth="1"/>
    <col min="7" max="7" width="2.42578125" style="15" customWidth="1"/>
    <col min="8" max="16384" width="9.140625" style="3" hidden="1"/>
  </cols>
  <sheetData>
    <row r="1" spans="1:7" ht="78.75" customHeight="1" x14ac:dyDescent="0.2">
      <c r="B1" s="27"/>
      <c r="C1" s="27"/>
      <c r="D1" s="27"/>
      <c r="E1" s="27"/>
      <c r="F1" s="27"/>
    </row>
    <row r="2" spans="1:7" ht="15.75" x14ac:dyDescent="0.2">
      <c r="B2" s="35" t="str">
        <f>_xlfn.CONCAT("Расчет кухни № ",[1]Sheet1!$D$2)</f>
        <v xml:space="preserve">Расчет кухни № </v>
      </c>
      <c r="C2" s="35"/>
      <c r="D2" s="35"/>
      <c r="E2" s="35"/>
      <c r="F2" s="35"/>
    </row>
    <row r="3" spans="1:7" ht="13.5" customHeight="1" x14ac:dyDescent="0.2">
      <c r="A3" s="28">
        <f ca="1">IF([1]Sheet1!$D$3="СЕГОДНЯ",TODAY(),[1]Sheet1!$D$3)</f>
        <v>0</v>
      </c>
      <c r="B3" s="37">
        <f ca="1">A3</f>
        <v>0</v>
      </c>
      <c r="C3" s="37"/>
      <c r="D3" s="37"/>
      <c r="E3" s="37"/>
      <c r="F3" s="37"/>
    </row>
    <row r="4" spans="1:7" ht="15" customHeight="1" x14ac:dyDescent="0.2">
      <c r="B4" s="36" t="str">
        <f>_xlfn.CONCAT("(",[1]Sheet1!$D$4,")")</f>
        <v>()</v>
      </c>
      <c r="C4" s="36"/>
      <c r="D4" s="36"/>
      <c r="E4" s="36"/>
      <c r="F4" s="36"/>
    </row>
    <row r="5" spans="1:7" ht="5.0999999999999996" customHeight="1" x14ac:dyDescent="0.2"/>
    <row r="6" spans="1:7" s="1" customFormat="1" ht="12.6" customHeight="1" x14ac:dyDescent="0.25">
      <c r="A6" s="29"/>
      <c r="B6" s="5">
        <f>[1]Sheet1!$C$9</f>
        <v>0</v>
      </c>
      <c r="C6" s="6" t="s">
        <v>0</v>
      </c>
      <c r="D6" s="6" t="s">
        <v>11</v>
      </c>
      <c r="E6" s="6" t="s">
        <v>5</v>
      </c>
      <c r="F6" s="6" t="s">
        <v>1</v>
      </c>
      <c r="G6" s="16"/>
    </row>
    <row r="7" spans="1:7" s="1" customFormat="1" ht="12.6" customHeight="1" x14ac:dyDescent="0.2">
      <c r="A7" s="28">
        <f>IF(SUM(F8:F18)&gt;0,0,777)</f>
        <v>777</v>
      </c>
      <c r="B7" s="34" t="s">
        <v>4</v>
      </c>
      <c r="C7" s="34"/>
      <c r="D7" s="34"/>
      <c r="E7" s="34"/>
      <c r="F7" s="34"/>
      <c r="G7" s="15"/>
    </row>
    <row r="8" spans="1:7" s="2" customFormat="1" ht="12" customHeight="1" x14ac:dyDescent="0.2">
      <c r="A8" s="30">
        <f t="shared" ref="A8:A18" si="0">IF(F8=0,777,0)</f>
        <v>777</v>
      </c>
      <c r="B8" s="7" t="s">
        <v>3</v>
      </c>
      <c r="C8" s="8" t="s">
        <v>12</v>
      </c>
      <c r="D8" s="9" t="str">
        <f>_xlfn.CONCAT(IF([1]Sheet1!$D$36="ЛДСП СТАНДАРТ",'Расчетный лист'!B28,0), " л.")</f>
        <v>0 л.</v>
      </c>
      <c r="E8" s="9" t="s">
        <v>13</v>
      </c>
      <c r="F8" s="10">
        <f>IF([1]Sheet1!$D$36&lt;&gt;"ЛДСП СТАНДАРТ",0,'Расчетный лист'!B28*[2]Sheet1!$B$5*B6)</f>
        <v>0</v>
      </c>
      <c r="G8" s="17"/>
    </row>
    <row r="9" spans="1:7" s="2" customFormat="1" ht="12" customHeight="1" x14ac:dyDescent="0.2">
      <c r="A9" s="30">
        <f t="shared" si="0"/>
        <v>777</v>
      </c>
      <c r="B9" s="7" t="s">
        <v>3</v>
      </c>
      <c r="C9" s="8" t="s">
        <v>20</v>
      </c>
      <c r="D9" s="9">
        <f>IF(F8=0,0,_xlfn.CONCAT('Расчетный лист'!B28," ком."))</f>
        <v>0</v>
      </c>
      <c r="E9" s="9" t="s">
        <v>15</v>
      </c>
      <c r="F9" s="10">
        <f>IF(F8=0,0,F8*0.4)</f>
        <v>0</v>
      </c>
      <c r="G9" s="17"/>
    </row>
    <row r="10" spans="1:7" s="2" customFormat="1" ht="12" customHeight="1" x14ac:dyDescent="0.2">
      <c r="A10" s="30">
        <f t="shared" si="0"/>
        <v>777</v>
      </c>
      <c r="B10" s="7" t="s">
        <v>3</v>
      </c>
      <c r="C10" s="8" t="s">
        <v>14</v>
      </c>
      <c r="D10" s="9">
        <f>IF(F8=0,0,_xlfn.CONCAT('Расчетный лист'!B28," наб."))</f>
        <v>0</v>
      </c>
      <c r="E10" s="9" t="s">
        <v>3</v>
      </c>
      <c r="F10" s="10">
        <f>IF(F9=0,0,F8*0.6)</f>
        <v>0</v>
      </c>
      <c r="G10" s="17"/>
    </row>
    <row r="11" spans="1:7" s="2" customFormat="1" ht="12" customHeight="1" x14ac:dyDescent="0.2">
      <c r="A11" s="30">
        <f t="shared" si="0"/>
        <v>777</v>
      </c>
      <c r="B11" s="7" t="s">
        <v>3</v>
      </c>
      <c r="C11" s="8" t="s">
        <v>16</v>
      </c>
      <c r="D11" s="9" t="str">
        <f>_xlfn.CONCAT(IF([1]Sheet1!$D$36="ЛДСП EGGER",'Расчетный лист'!B28,0), " л.")</f>
        <v>0 л.</v>
      </c>
      <c r="E11" s="9" t="s">
        <v>17</v>
      </c>
      <c r="F11" s="10">
        <f>IF([1]Sheet1!$D$36&lt;&gt;"ЛДСП EGGER",0,'Расчетный лист'!B28*[2]Sheet1!$B$6*Спецификация!B6)</f>
        <v>0</v>
      </c>
      <c r="G11" s="17"/>
    </row>
    <row r="12" spans="1:7" s="2" customFormat="1" ht="12" customHeight="1" x14ac:dyDescent="0.2">
      <c r="A12" s="30">
        <f t="shared" si="0"/>
        <v>777</v>
      </c>
      <c r="B12" s="7" t="s">
        <v>3</v>
      </c>
      <c r="C12" s="8" t="s">
        <v>18</v>
      </c>
      <c r="D12" s="9">
        <f>IF(F11=0,0,_xlfn.CONCAT('Расчетный лист'!B28," ком."))</f>
        <v>0</v>
      </c>
      <c r="E12" s="9" t="s">
        <v>19</v>
      </c>
      <c r="F12" s="10">
        <f>IF(F11=0,0,F11*0.4)</f>
        <v>0</v>
      </c>
      <c r="G12" s="17"/>
    </row>
    <row r="13" spans="1:7" s="2" customFormat="1" ht="12" customHeight="1" x14ac:dyDescent="0.2">
      <c r="A13" s="30">
        <f t="shared" si="0"/>
        <v>777</v>
      </c>
      <c r="B13" s="7" t="s">
        <v>3</v>
      </c>
      <c r="C13" s="8" t="s">
        <v>14</v>
      </c>
      <c r="D13" s="9">
        <f>IF(F11=0,0,_xlfn.CONCAT('Расчетный лист'!B28," наб."))</f>
        <v>0</v>
      </c>
      <c r="E13" s="9" t="s">
        <v>3</v>
      </c>
      <c r="F13" s="10">
        <f>IF(F12=0,0,F11*0.6)</f>
        <v>0</v>
      </c>
      <c r="G13" s="17"/>
    </row>
    <row r="14" spans="1:7" s="2" customFormat="1" ht="12" customHeight="1" x14ac:dyDescent="0.2">
      <c r="A14" s="30">
        <f t="shared" si="0"/>
        <v>777</v>
      </c>
      <c r="B14" s="7" t="s">
        <v>3</v>
      </c>
      <c r="C14" s="8" t="s">
        <v>21</v>
      </c>
      <c r="D14" s="9" t="str">
        <f>_xlfn.CONCAT(IF([1]Sheet1!$D$36="ЛМДФ",'Расчетный лист'!B28,0), " л.")</f>
        <v>0 л.</v>
      </c>
      <c r="E14" s="9" t="s">
        <v>22</v>
      </c>
      <c r="F14" s="10">
        <f>IF([1]Sheet1!$D$36&lt;&gt;"ЛМДФ",0,'Расчетный лист'!B28*[2]Sheet1!$B$7*B6)</f>
        <v>0</v>
      </c>
      <c r="G14" s="17"/>
    </row>
    <row r="15" spans="1:7" s="2" customFormat="1" ht="12" customHeight="1" x14ac:dyDescent="0.2">
      <c r="A15" s="30">
        <f t="shared" si="0"/>
        <v>777</v>
      </c>
      <c r="B15" s="7" t="s">
        <v>3</v>
      </c>
      <c r="C15" s="8" t="s">
        <v>23</v>
      </c>
      <c r="D15" s="9">
        <f>IF(F14=0,0,_xlfn.CONCAT('Расчетный лист'!B28," ком."))</f>
        <v>0</v>
      </c>
      <c r="E15" s="9" t="s">
        <v>24</v>
      </c>
      <c r="F15" s="10">
        <f>IF(F14=0,0,F14*0.4)</f>
        <v>0</v>
      </c>
      <c r="G15" s="17"/>
    </row>
    <row r="16" spans="1:7" s="2" customFormat="1" ht="12" customHeight="1" x14ac:dyDescent="0.2">
      <c r="A16" s="30">
        <f t="shared" si="0"/>
        <v>777</v>
      </c>
      <c r="B16" s="7" t="s">
        <v>3</v>
      </c>
      <c r="C16" s="8" t="s">
        <v>14</v>
      </c>
      <c r="D16" s="9">
        <f>IF(F14=0,0,_xlfn.CONCAT('Расчетный лист'!B28," наб."))</f>
        <v>0</v>
      </c>
      <c r="E16" s="9" t="s">
        <v>3</v>
      </c>
      <c r="F16" s="10">
        <f>IF(F15=0,0,F14*0.6)</f>
        <v>0</v>
      </c>
      <c r="G16" s="17"/>
    </row>
    <row r="17" spans="1:7" s="2" customFormat="1" ht="12" customHeight="1" x14ac:dyDescent="0.2">
      <c r="A17" s="30">
        <f t="shared" si="0"/>
        <v>777</v>
      </c>
      <c r="B17" s="7" t="s">
        <v>3</v>
      </c>
      <c r="C17" s="8" t="s">
        <v>27</v>
      </c>
      <c r="D17" s="9" t="str">
        <f>_xlfn.CONCAT(IF([1]Sheet1!$D$37="БЕЛАЯ",'Расчетный лист'!B33,0), " л.")</f>
        <v>0 л.</v>
      </c>
      <c r="E17" s="9" t="s">
        <v>22</v>
      </c>
      <c r="F17" s="10">
        <f>IF([1]Sheet1!$D$37&lt;&gt;"БЕЛАЯ",0,'Расчетный лист'!B33*[2]Sheet1!$B$8*Спецификация!B6)</f>
        <v>0</v>
      </c>
      <c r="G17" s="17"/>
    </row>
    <row r="18" spans="1:7" s="2" customFormat="1" ht="12" customHeight="1" x14ac:dyDescent="0.2">
      <c r="A18" s="30">
        <f t="shared" si="0"/>
        <v>777</v>
      </c>
      <c r="B18" s="7" t="s">
        <v>3</v>
      </c>
      <c r="C18" s="8" t="s">
        <v>25</v>
      </c>
      <c r="D18" s="9" t="str">
        <f>_xlfn.CONCAT(IF([1]Sheet1!$D$37="ЦВЕТНАЯ",'Расчетный лист'!B33,0), " л.")</f>
        <v>0 л.</v>
      </c>
      <c r="E18" s="9" t="s">
        <v>26</v>
      </c>
      <c r="F18" s="10">
        <f>IF([1]Sheet1!$D$37&lt;&gt;"ЦВЕТНАЯ",0,'Расчетный лист'!B33*[2]Sheet1!$B$9*Спецификация!B6)</f>
        <v>0</v>
      </c>
      <c r="G18" s="17"/>
    </row>
    <row r="19" spans="1:7" s="2" customFormat="1" ht="12" customHeight="1" x14ac:dyDescent="0.2">
      <c r="A19" s="28">
        <f>IF(SUM(F20:F24)&gt;0,0,777)</f>
        <v>777</v>
      </c>
      <c r="B19" s="34" t="s">
        <v>28</v>
      </c>
      <c r="C19" s="34"/>
      <c r="D19" s="34"/>
      <c r="E19" s="34"/>
      <c r="F19" s="34"/>
      <c r="G19" s="15"/>
    </row>
    <row r="20" spans="1:7" s="2" customFormat="1" ht="12" customHeight="1" x14ac:dyDescent="0.2">
      <c r="A20" s="30">
        <f>IF(F20=0,777,0)</f>
        <v>777</v>
      </c>
      <c r="B20" s="7" t="s">
        <v>3</v>
      </c>
      <c r="C20" s="8" t="s">
        <v>29</v>
      </c>
      <c r="D20" s="9" t="str">
        <f>_xlfn.CONCAT(IF([1]Sheet1!$D$23&lt;&gt;"ПВ БЕЗ ДОВОДЧИКОВ",0,[1]Sheet1!$C$22)," шт.")</f>
        <v>0 шт.</v>
      </c>
      <c r="E20" s="9" t="s">
        <v>33</v>
      </c>
      <c r="F20" s="10">
        <f>IF([1]Sheet1!$D$23="ПВ БЕЗ ДОВОДЧИКОВ",[1]Sheet1!$C$22*[2]Sheet1!$B$11*B6,0)</f>
        <v>0</v>
      </c>
      <c r="G20" s="17"/>
    </row>
    <row r="21" spans="1:7" s="2" customFormat="1" ht="12" customHeight="1" x14ac:dyDescent="0.2">
      <c r="A21" s="30">
        <f>IF(F21=0,777,0)</f>
        <v>777</v>
      </c>
      <c r="B21" s="7" t="s">
        <v>3</v>
      </c>
      <c r="C21" s="8" t="s">
        <v>30</v>
      </c>
      <c r="D21" s="9" t="str">
        <f>_xlfn.CONCAT(IF([1]Sheet1!$D$23&lt;&gt;"СКРЫТОГО МОНТАЖА",0,[1]Sheet1!$C$22)," шт.")</f>
        <v>0 шт.</v>
      </c>
      <c r="E21" s="9" t="s">
        <v>34</v>
      </c>
      <c r="F21" s="10">
        <f>IF([1]Sheet1!$D$23="СКРЫТОГО МОНТАЖА",[1]Sheet1!$C$22*[2]Sheet1!$B$12*B6,0)</f>
        <v>0</v>
      </c>
      <c r="G21" s="17"/>
    </row>
    <row r="22" spans="1:7" s="2" customFormat="1" ht="12" customHeight="1" x14ac:dyDescent="0.2">
      <c r="A22" s="30">
        <f>IF(F22=0,777,0)</f>
        <v>777</v>
      </c>
      <c r="B22" s="7" t="s">
        <v>3</v>
      </c>
      <c r="C22" s="8" t="s">
        <v>31</v>
      </c>
      <c r="D22" s="9" t="str">
        <f>_xlfn.CONCAT(IF([1]Sheet1!$D$23&lt;&gt;"HETTICH",0,[1]Sheet1!$C$22)," шт.")</f>
        <v>0 шт.</v>
      </c>
      <c r="E22" s="9" t="s">
        <v>34</v>
      </c>
      <c r="F22" s="10">
        <f>IF([1]Sheet1!$D$23="HETTICH",[1]Sheet1!$C$22*[2]Sheet1!$B$13*B6,0)</f>
        <v>0</v>
      </c>
      <c r="G22" s="17"/>
    </row>
    <row r="23" spans="1:7" s="2" customFormat="1" ht="12" customHeight="1" x14ac:dyDescent="0.2">
      <c r="A23" s="30">
        <f>IF(F23=0,777,0)</f>
        <v>777</v>
      </c>
      <c r="B23" s="7" t="s">
        <v>3</v>
      </c>
      <c r="C23" s="8" t="s">
        <v>32</v>
      </c>
      <c r="D23" s="9" t="str">
        <f>_xlfn.CONCAT(IF([1]Sheet1!$D$23&lt;&gt;"BLUM",0,[1]Sheet1!$C$22)," шт.")</f>
        <v>0 шт.</v>
      </c>
      <c r="E23" s="9" t="s">
        <v>34</v>
      </c>
      <c r="F23" s="10">
        <f>IF([1]Sheet1!$D$23="BLUM",[1]Sheet1!$C$22*[2]Sheet1!$B$13*B6,0)</f>
        <v>0</v>
      </c>
      <c r="G23" s="17"/>
    </row>
    <row r="24" spans="1:7" s="2" customFormat="1" ht="12" customHeight="1" x14ac:dyDescent="0.2">
      <c r="A24" s="30">
        <f>IF(F24=0,777,0)</f>
        <v>777</v>
      </c>
      <c r="B24" s="7" t="s">
        <v>3</v>
      </c>
      <c r="C24" s="8" t="s">
        <v>75</v>
      </c>
      <c r="D24" s="9" t="str">
        <f>_xlfn.CONCAT(IF([1]Sheet1!$C$18=0,0,[1]Sheet1!$C$18)," шт.")</f>
        <v>0 шт.</v>
      </c>
      <c r="E24" s="9" t="s">
        <v>13</v>
      </c>
      <c r="F24" s="10">
        <f>IF([1]Sheet1!$C$18=0,0,[1]Sheet1!$C$18*[2]Sheet1!$B$15*B6)</f>
        <v>0</v>
      </c>
      <c r="G24" s="17"/>
    </row>
    <row r="25" spans="1:7" s="2" customFormat="1" ht="12" customHeight="1" x14ac:dyDescent="0.2">
      <c r="A25" s="28">
        <f>IF(SUM(F26:F30)&gt;0,0,777)</f>
        <v>777</v>
      </c>
      <c r="B25" s="34" t="s">
        <v>70</v>
      </c>
      <c r="C25" s="34"/>
      <c r="D25" s="34"/>
      <c r="E25" s="34"/>
      <c r="F25" s="34"/>
      <c r="G25" s="15"/>
    </row>
    <row r="26" spans="1:7" s="2" customFormat="1" ht="12" customHeight="1" x14ac:dyDescent="0.2">
      <c r="A26" s="30">
        <f>IF(F26=0,777,0)</f>
        <v>777</v>
      </c>
      <c r="B26" s="7" t="s">
        <v>3</v>
      </c>
      <c r="C26" s="8" t="s">
        <v>69</v>
      </c>
      <c r="D26" s="9" t="str">
        <f>_xlfn.CONCAT('Расчетный лист'!F37," шт.")</f>
        <v>0 шт.</v>
      </c>
      <c r="E26" s="9" t="s">
        <v>3</v>
      </c>
      <c r="F26" s="10">
        <f>IF('Расчетный лист'!F37=0,0,'Расчетный лист'!F37*[2]Sheet1!$B$17*Спецификация!B6)</f>
        <v>0</v>
      </c>
      <c r="G26" s="17"/>
    </row>
    <row r="27" spans="1:7" s="2" customFormat="1" ht="12" customHeight="1" x14ac:dyDescent="0.2">
      <c r="A27" s="30">
        <f>IF(F27=0,777,0)</f>
        <v>777</v>
      </c>
      <c r="B27" s="7" t="s">
        <v>3</v>
      </c>
      <c r="C27" s="8" t="s">
        <v>71</v>
      </c>
      <c r="D27" s="9" t="str">
        <f>_xlfn.CONCAT('Расчетный лист'!F36," шт.")</f>
        <v>0 шт.</v>
      </c>
      <c r="E27" s="9" t="s">
        <v>81</v>
      </c>
      <c r="F27" s="10">
        <f>IF('Расчетный лист'!F36=0,0,'Расчетный лист'!F36*[2]Sheet1!$B$18*Спецификация!B6)</f>
        <v>0</v>
      </c>
      <c r="G27" s="17"/>
    </row>
    <row r="28" spans="1:7" s="2" customFormat="1" ht="12" customHeight="1" x14ac:dyDescent="0.2">
      <c r="A28" s="30">
        <f>IF(F28=0,777,0)</f>
        <v>777</v>
      </c>
      <c r="B28" s="7" t="s">
        <v>3</v>
      </c>
      <c r="C28" s="8" t="s">
        <v>72</v>
      </c>
      <c r="D28" s="9" t="str">
        <f>_xlfn.CONCAT('Расчетный лист'!F38," шт.")</f>
        <v>0 шт.</v>
      </c>
      <c r="E28" s="9" t="s">
        <v>3</v>
      </c>
      <c r="F28" s="10">
        <f>IF('Расчетный лист'!F38=0,0,'Расчетный лист'!F38*[2]Sheet1!$B$19*Спецификация!B6)</f>
        <v>0</v>
      </c>
      <c r="G28" s="17"/>
    </row>
    <row r="29" spans="1:7" s="2" customFormat="1" ht="12" customHeight="1" x14ac:dyDescent="0.2">
      <c r="A29" s="30">
        <f>IF(F29=0,777,0)</f>
        <v>777</v>
      </c>
      <c r="B29" s="7" t="s">
        <v>3</v>
      </c>
      <c r="C29" s="8" t="s">
        <v>73</v>
      </c>
      <c r="D29" s="9" t="str">
        <f>_xlfn.CONCAT('Расчетный лист'!F39," шт.")</f>
        <v>0 шт.</v>
      </c>
      <c r="E29" s="9" t="s">
        <v>3</v>
      </c>
      <c r="F29" s="10">
        <f>IF('Расчетный лист'!F39=0,0,'Расчетный лист'!F39*[2]Sheet1!$B$20*Спецификация!B6)</f>
        <v>0</v>
      </c>
      <c r="G29" s="17"/>
    </row>
    <row r="30" spans="1:7" s="2" customFormat="1" ht="12" customHeight="1" x14ac:dyDescent="0.2">
      <c r="A30" s="30">
        <f>IF(F30=0,777,0)</f>
        <v>777</v>
      </c>
      <c r="B30" s="7" t="s">
        <v>3</v>
      </c>
      <c r="C30" s="8" t="s">
        <v>74</v>
      </c>
      <c r="D30" s="9" t="str">
        <f>_xlfn.CONCAT('Расчетный лист'!F40," шт.")</f>
        <v>0 шт.</v>
      </c>
      <c r="E30" s="9" t="s">
        <v>3</v>
      </c>
      <c r="F30" s="10">
        <f>IF('Расчетный лист'!F40=0,0,'Расчетный лист'!F40*[2]Sheet1!$B$21*B6)</f>
        <v>0</v>
      </c>
      <c r="G30" s="17"/>
    </row>
    <row r="31" spans="1:7" s="2" customFormat="1" ht="12" customHeight="1" x14ac:dyDescent="0.2">
      <c r="A31" s="28">
        <f>IF(SUM(F32:F40)&gt;0,0,777)</f>
        <v>777</v>
      </c>
      <c r="B31" s="34" t="s">
        <v>47</v>
      </c>
      <c r="C31" s="34"/>
      <c r="D31" s="34"/>
      <c r="E31" s="34"/>
      <c r="F31" s="34"/>
      <c r="G31" s="15"/>
    </row>
    <row r="32" spans="1:7" s="2" customFormat="1" ht="12" customHeight="1" x14ac:dyDescent="0.2">
      <c r="A32" s="30">
        <f t="shared" ref="A32:A40" si="1">IF(F32=0,777,0)</f>
        <v>777</v>
      </c>
      <c r="B32" s="7" t="s">
        <v>3</v>
      </c>
      <c r="C32" s="8" t="s">
        <v>35</v>
      </c>
      <c r="D32" s="9" t="str">
        <f>_xlfn.CONCAT('Расчетный лист'!G43," л.")</f>
        <v>0 л.</v>
      </c>
      <c r="E32" s="9" t="s">
        <v>13</v>
      </c>
      <c r="F32" s="10">
        <f>'Расчетный лист'!G43*[2]Sheet1!$B$23*B6</f>
        <v>0</v>
      </c>
      <c r="G32" s="17"/>
    </row>
    <row r="33" spans="1:7" s="2" customFormat="1" ht="12" customHeight="1" x14ac:dyDescent="0.2">
      <c r="A33" s="30">
        <f t="shared" si="1"/>
        <v>777</v>
      </c>
      <c r="B33" s="7" t="s">
        <v>3</v>
      </c>
      <c r="C33" s="8" t="s">
        <v>36</v>
      </c>
      <c r="D33" s="9" t="str">
        <f>_xlfn.CONCAT('Расчетный лист'!G44," л.")</f>
        <v>0 л.</v>
      </c>
      <c r="E33" s="9" t="s">
        <v>17</v>
      </c>
      <c r="F33" s="10">
        <f>'Расчетный лист'!G44*[2]Sheet1!$B$24*B6</f>
        <v>0</v>
      </c>
      <c r="G33" s="17"/>
    </row>
    <row r="34" spans="1:7" s="2" customFormat="1" ht="12" customHeight="1" x14ac:dyDescent="0.2">
      <c r="A34" s="30">
        <f t="shared" si="1"/>
        <v>777</v>
      </c>
      <c r="B34" s="7" t="s">
        <v>3</v>
      </c>
      <c r="C34" s="8" t="s">
        <v>37</v>
      </c>
      <c r="D34" s="9" t="str">
        <f>_xlfn.CONCAT('Расчетный лист'!G45," л.")</f>
        <v>0 л.</v>
      </c>
      <c r="E34" s="9" t="s">
        <v>3</v>
      </c>
      <c r="F34" s="10">
        <f>'Расчетный лист'!G45*[2]Sheet1!$B$25*B6</f>
        <v>0</v>
      </c>
      <c r="G34" s="17"/>
    </row>
    <row r="35" spans="1:7" s="2" customFormat="1" ht="12" customHeight="1" x14ac:dyDescent="0.2">
      <c r="A35" s="30">
        <f t="shared" si="1"/>
        <v>777</v>
      </c>
      <c r="B35" s="7" t="s">
        <v>3</v>
      </c>
      <c r="C35" s="8" t="s">
        <v>38</v>
      </c>
      <c r="D35" s="9" t="str">
        <f>_xlfn.CONCAT('Расчетный лист'!G46," л.")</f>
        <v>0 л.</v>
      </c>
      <c r="E35" s="9" t="s">
        <v>3</v>
      </c>
      <c r="F35" s="10">
        <f>'Расчетный лист'!G46*[2]Sheet1!$B$26*B6</f>
        <v>0</v>
      </c>
      <c r="G35" s="17"/>
    </row>
    <row r="36" spans="1:7" s="2" customFormat="1" ht="12" customHeight="1" x14ac:dyDescent="0.2">
      <c r="A36" s="30">
        <f t="shared" si="1"/>
        <v>777</v>
      </c>
      <c r="B36" s="7" t="s">
        <v>3</v>
      </c>
      <c r="C36" s="8" t="s">
        <v>39</v>
      </c>
      <c r="D36" s="9" t="str">
        <f>_xlfn.CONCAT(_xlfn.FLOOR.MATH('Расчетный лист'!F47)," м2.")</f>
        <v>0 м2.</v>
      </c>
      <c r="E36" s="9" t="s">
        <v>3</v>
      </c>
      <c r="F36" s="10">
        <f>'Расчетный лист'!F47*[2]Sheet1!$B$27*B6</f>
        <v>0</v>
      </c>
      <c r="G36" s="17"/>
    </row>
    <row r="37" spans="1:7" s="2" customFormat="1" ht="12" customHeight="1" x14ac:dyDescent="0.2">
      <c r="A37" s="30">
        <f t="shared" si="1"/>
        <v>777</v>
      </c>
      <c r="B37" s="7" t="s">
        <v>3</v>
      </c>
      <c r="C37" s="8" t="s">
        <v>40</v>
      </c>
      <c r="D37" s="9" t="str">
        <f>_xlfn.CONCAT(_xlfn.FLOOR.MATH('Расчетный лист'!F48)," м2.")</f>
        <v>0 м2.</v>
      </c>
      <c r="E37" s="9" t="s">
        <v>3</v>
      </c>
      <c r="F37" s="10">
        <f>'Расчетный лист'!F48*[2]Sheet1!$B$28*B6</f>
        <v>0</v>
      </c>
      <c r="G37" s="17"/>
    </row>
    <row r="38" spans="1:7" s="2" customFormat="1" ht="12" customHeight="1" x14ac:dyDescent="0.2">
      <c r="A38" s="30">
        <f t="shared" si="1"/>
        <v>777</v>
      </c>
      <c r="B38" s="7" t="s">
        <v>3</v>
      </c>
      <c r="C38" s="8" t="s">
        <v>57</v>
      </c>
      <c r="D38" s="9" t="str">
        <f>_xlfn.CONCAT(_xlfn.FLOOR.MATH('Расчетный лист'!F49)," м2.")</f>
        <v>0 м2.</v>
      </c>
      <c r="E38" s="9" t="s">
        <v>3</v>
      </c>
      <c r="F38" s="10">
        <f>'Расчетный лист'!F49*[2]Sheet1!$B$29*B6</f>
        <v>0</v>
      </c>
      <c r="G38" s="17"/>
    </row>
    <row r="39" spans="1:7" s="2" customFormat="1" ht="12" customHeight="1" x14ac:dyDescent="0.2">
      <c r="A39" s="30">
        <f t="shared" si="1"/>
        <v>777</v>
      </c>
      <c r="B39" s="7" t="s">
        <v>3</v>
      </c>
      <c r="C39" s="8" t="s">
        <v>49</v>
      </c>
      <c r="D39" s="9" t="str">
        <f>_xlfn.CONCAT(_xlfn.FLOOR.MATH('Расчетный лист'!F50)," м2.")</f>
        <v>0 м2.</v>
      </c>
      <c r="E39" s="9" t="s">
        <v>3</v>
      </c>
      <c r="F39" s="10">
        <f>'Расчетный лист'!F50*[2]Sheet1!$B$30*B6</f>
        <v>0</v>
      </c>
      <c r="G39" s="17"/>
    </row>
    <row r="40" spans="1:7" s="2" customFormat="1" ht="12" customHeight="1" x14ac:dyDescent="0.2">
      <c r="A40" s="30">
        <f t="shared" si="1"/>
        <v>777</v>
      </c>
      <c r="B40" s="7" t="s">
        <v>3</v>
      </c>
      <c r="C40" s="8" t="s">
        <v>50</v>
      </c>
      <c r="D40" s="9" t="str">
        <f>_xlfn.CONCAT(_xlfn.FLOOR.MATH('Расчетный лист'!F51)," м2.")</f>
        <v>0 м2.</v>
      </c>
      <c r="E40" s="9" t="s">
        <v>3</v>
      </c>
      <c r="F40" s="10">
        <f>'Расчетный лист'!F51*[2]Sheet1!$B$31*B6</f>
        <v>0</v>
      </c>
      <c r="G40" s="17"/>
    </row>
    <row r="41" spans="1:7" s="2" customFormat="1" ht="12" customHeight="1" x14ac:dyDescent="0.2">
      <c r="A41" s="28">
        <f>IF(SUM(F42)&gt;0,0,777)</f>
        <v>777</v>
      </c>
      <c r="B41" s="34" t="s">
        <v>41</v>
      </c>
      <c r="C41" s="34"/>
      <c r="D41" s="34"/>
      <c r="E41" s="34"/>
      <c r="F41" s="34"/>
      <c r="G41" s="15"/>
    </row>
    <row r="42" spans="1:7" s="2" customFormat="1" ht="12" customHeight="1" x14ac:dyDescent="0.2">
      <c r="A42" s="30">
        <f>IF(F42=0,777,0)</f>
        <v>777</v>
      </c>
      <c r="B42" s="7" t="s">
        <v>3</v>
      </c>
      <c r="C42" s="8" t="s">
        <v>42</v>
      </c>
      <c r="D42" s="9" t="str">
        <f>_xlfn.CONCAT('Расчетный лист'!F53," шт.")</f>
        <v>0 шт.</v>
      </c>
      <c r="E42" s="9" t="s">
        <v>52</v>
      </c>
      <c r="F42" s="10">
        <f>'Расчетный лист'!F53*[2]Sheet1!$B$33*Спецификация!B6</f>
        <v>0</v>
      </c>
      <c r="G42" s="17"/>
    </row>
    <row r="43" spans="1:7" s="2" customFormat="1" ht="12" customHeight="1" x14ac:dyDescent="0.2">
      <c r="A43" s="28">
        <f>IF(SUM(F44:F48)&gt;0,0,777)</f>
        <v>777</v>
      </c>
      <c r="B43" s="34" t="s">
        <v>95</v>
      </c>
      <c r="C43" s="34"/>
      <c r="D43" s="34"/>
      <c r="E43" s="34"/>
      <c r="F43" s="34"/>
      <c r="G43" s="15"/>
    </row>
    <row r="44" spans="1:7" s="2" customFormat="1" ht="12" customHeight="1" x14ac:dyDescent="0.2">
      <c r="A44" s="30">
        <f>IF(F44=0,777,0)</f>
        <v>777</v>
      </c>
      <c r="B44" s="7" t="s">
        <v>3</v>
      </c>
      <c r="C44" s="8" t="s">
        <v>110</v>
      </c>
      <c r="D44" s="9" t="str">
        <f>_xlfn.CONCAT('Расчетный лист'!B57," шт.")</f>
        <v>0 шт.</v>
      </c>
      <c r="E44" s="9" t="s">
        <v>53</v>
      </c>
      <c r="F44" s="10">
        <f>'Расчетный лист'!B57*[2]Sheet1!$B$35*B6</f>
        <v>0</v>
      </c>
      <c r="G44" s="17"/>
    </row>
    <row r="45" spans="1:7" s="2" customFormat="1" ht="12" customHeight="1" x14ac:dyDescent="0.2">
      <c r="A45" s="30">
        <f>IF(F45=0,777,0)</f>
        <v>777</v>
      </c>
      <c r="B45" s="7" t="s">
        <v>3</v>
      </c>
      <c r="C45" s="8" t="s">
        <v>111</v>
      </c>
      <c r="D45" s="9" t="str">
        <f>_xlfn.CONCAT('Расчетный лист'!B58," шт.")</f>
        <v>0 шт.</v>
      </c>
      <c r="E45" s="9" t="s">
        <v>53</v>
      </c>
      <c r="F45" s="10">
        <f>'Расчетный лист'!B58*[2]Sheet1!$B$36*B6</f>
        <v>0</v>
      </c>
      <c r="G45" s="17"/>
    </row>
    <row r="46" spans="1:7" s="2" customFormat="1" ht="12" customHeight="1" x14ac:dyDescent="0.2">
      <c r="A46" s="30">
        <f>IF(F46=0,777,0)</f>
        <v>777</v>
      </c>
      <c r="B46" s="7" t="s">
        <v>3</v>
      </c>
      <c r="C46" s="8" t="s">
        <v>48</v>
      </c>
      <c r="D46" s="9" t="str">
        <f>_xlfn.CONCAT('Расчетный лист'!B59," шт.")</f>
        <v>0 шт.</v>
      </c>
      <c r="E46" s="9" t="s">
        <v>54</v>
      </c>
      <c r="F46" s="10">
        <f>'Расчетный лист'!B59*[2]Sheet1!$B$37*B6</f>
        <v>0</v>
      </c>
      <c r="G46" s="17"/>
    </row>
    <row r="47" spans="1:7" s="2" customFormat="1" ht="12" customHeight="1" x14ac:dyDescent="0.2">
      <c r="A47" s="30">
        <f>IF(F47=0,777,0)</f>
        <v>777</v>
      </c>
      <c r="B47" s="7" t="s">
        <v>3</v>
      </c>
      <c r="C47" s="8" t="s">
        <v>97</v>
      </c>
      <c r="D47" s="9" t="str">
        <f>_xlfn.CONCAT('Расчетный лист'!B60," шт.")</f>
        <v>0 шт.</v>
      </c>
      <c r="E47" s="9" t="s">
        <v>106</v>
      </c>
      <c r="F47" s="10">
        <f>'Расчетный лист'!B60*[2]Sheet1!$B$38*B6</f>
        <v>0</v>
      </c>
      <c r="G47" s="17"/>
    </row>
    <row r="48" spans="1:7" s="2" customFormat="1" ht="12" customHeight="1" x14ac:dyDescent="0.2">
      <c r="A48" s="30">
        <f>IF(F48=0,777,0)</f>
        <v>777</v>
      </c>
      <c r="B48" s="7" t="s">
        <v>3</v>
      </c>
      <c r="C48" s="8" t="s">
        <v>98</v>
      </c>
      <c r="D48" s="9" t="str">
        <f>_xlfn.CONCAT('Расчетный лист'!B61," м2")</f>
        <v>0 м2</v>
      </c>
      <c r="E48" s="9" t="s">
        <v>107</v>
      </c>
      <c r="F48" s="10">
        <f>'Расчетный лист'!B61*[2]Sheet1!$B$39*B6</f>
        <v>0</v>
      </c>
      <c r="G48" s="17"/>
    </row>
    <row r="49" spans="1:7" s="2" customFormat="1" ht="12" customHeight="1" x14ac:dyDescent="0.2">
      <c r="A49" s="28">
        <f>IF(SUM(F50:F54)&gt;0,0,777)</f>
        <v>777</v>
      </c>
      <c r="B49" s="31" t="s">
        <v>96</v>
      </c>
      <c r="C49" s="32"/>
      <c r="D49" s="32"/>
      <c r="E49" s="32"/>
      <c r="F49" s="33"/>
      <c r="G49" s="15"/>
    </row>
    <row r="50" spans="1:7" s="2" customFormat="1" ht="12" customHeight="1" x14ac:dyDescent="0.2">
      <c r="A50" s="30">
        <f>IF(F50=0,777,0)</f>
        <v>777</v>
      </c>
      <c r="B50" s="7" t="s">
        <v>3</v>
      </c>
      <c r="C50" s="8" t="s">
        <v>112</v>
      </c>
      <c r="D50" s="9" t="str">
        <f>_xlfn.CONCAT('Расчетный лист'!B63," шт.")</f>
        <v>0 шт.</v>
      </c>
      <c r="E50" s="9" t="s">
        <v>53</v>
      </c>
      <c r="F50" s="10">
        <f>'Расчетный лист'!B63*[2]Sheet1!$B$41*B6</f>
        <v>0</v>
      </c>
      <c r="G50" s="17"/>
    </row>
    <row r="51" spans="1:7" s="2" customFormat="1" ht="12" customHeight="1" x14ac:dyDescent="0.2">
      <c r="A51" s="30">
        <f>IF(F51=0,777,0)</f>
        <v>777</v>
      </c>
      <c r="B51" s="7" t="s">
        <v>3</v>
      </c>
      <c r="C51" s="8" t="s">
        <v>113</v>
      </c>
      <c r="D51" s="9" t="str">
        <f>_xlfn.CONCAT('Расчетный лист'!B64," шт.")</f>
        <v>0 шт.</v>
      </c>
      <c r="E51" s="9" t="s">
        <v>53</v>
      </c>
      <c r="F51" s="10">
        <f>'Расчетный лист'!B64*[2]Sheet1!$B$42*B6</f>
        <v>0</v>
      </c>
      <c r="G51" s="17"/>
    </row>
    <row r="52" spans="1:7" s="2" customFormat="1" ht="12" customHeight="1" x14ac:dyDescent="0.2">
      <c r="A52" s="30">
        <f>IF(F52=0,777,0)</f>
        <v>777</v>
      </c>
      <c r="B52" s="7" t="s">
        <v>3</v>
      </c>
      <c r="C52" s="8" t="s">
        <v>99</v>
      </c>
      <c r="D52" s="9" t="str">
        <f>_xlfn.CONCAT('Расчетный лист'!B65," шт.")</f>
        <v>0 шт.</v>
      </c>
      <c r="E52" s="9" t="s">
        <v>54</v>
      </c>
      <c r="F52" s="10">
        <f>'Расчетный лист'!B65*[2]Sheet1!$B$43*B6</f>
        <v>0</v>
      </c>
      <c r="G52" s="17"/>
    </row>
    <row r="53" spans="1:7" s="2" customFormat="1" ht="12" customHeight="1" x14ac:dyDescent="0.2">
      <c r="A53" s="30">
        <f>IF(F53=0,777,0)</f>
        <v>777</v>
      </c>
      <c r="B53" s="7" t="s">
        <v>3</v>
      </c>
      <c r="C53" s="8" t="s">
        <v>100</v>
      </c>
      <c r="D53" s="9" t="str">
        <f>_xlfn.CONCAT('Расчетный лист'!B66," шт.")</f>
        <v>0 шт.</v>
      </c>
      <c r="E53" s="9" t="s">
        <v>106</v>
      </c>
      <c r="F53" s="10">
        <f>'Расчетный лист'!B66*[2]Sheet1!$B$44*B6</f>
        <v>0</v>
      </c>
      <c r="G53" s="17"/>
    </row>
    <row r="54" spans="1:7" s="2" customFormat="1" ht="12" customHeight="1" x14ac:dyDescent="0.2">
      <c r="A54" s="30">
        <f>IF(F54=0,777,0)</f>
        <v>777</v>
      </c>
      <c r="B54" s="7" t="s">
        <v>3</v>
      </c>
      <c r="C54" s="8" t="s">
        <v>101</v>
      </c>
      <c r="D54" s="9" t="str">
        <f>_xlfn.CONCAT('Расчетный лист'!B67," м2")</f>
        <v>0 м2</v>
      </c>
      <c r="E54" s="9" t="s">
        <v>107</v>
      </c>
      <c r="F54" s="10">
        <f>'Расчетный лист'!B67*[2]Sheet1!$B$45*B6</f>
        <v>0</v>
      </c>
      <c r="G54" s="17"/>
    </row>
    <row r="55" spans="1:7" s="2" customFormat="1" ht="12" customHeight="1" x14ac:dyDescent="0.2">
      <c r="A55" s="28">
        <f>IF(SUM(F56:F58)&gt;0,0,777)</f>
        <v>777</v>
      </c>
      <c r="B55" s="31" t="s">
        <v>46</v>
      </c>
      <c r="C55" s="32"/>
      <c r="D55" s="32"/>
      <c r="E55" s="32"/>
      <c r="F55" s="33"/>
      <c r="G55" s="15"/>
    </row>
    <row r="56" spans="1:7" s="2" customFormat="1" ht="12" customHeight="1" x14ac:dyDescent="0.2">
      <c r="A56" s="30">
        <f>IF(F56=0,777,0)</f>
        <v>777</v>
      </c>
      <c r="B56" s="7" t="s">
        <v>3</v>
      </c>
      <c r="C56" s="8" t="s">
        <v>43</v>
      </c>
      <c r="D56" s="9" t="str">
        <f>_xlfn.CONCAT('Расчетный лист'!B69," ком.")</f>
        <v>0 ком.</v>
      </c>
      <c r="E56" s="9" t="s">
        <v>55</v>
      </c>
      <c r="F56" s="10">
        <f>'Расчетный лист'!B69*[2]Sheet1!$B$47*Спецификация!B6</f>
        <v>0</v>
      </c>
      <c r="G56" s="17"/>
    </row>
    <row r="57" spans="1:7" s="2" customFormat="1" ht="12" customHeight="1" x14ac:dyDescent="0.2">
      <c r="A57" s="30">
        <f>IF(F57=0,777,0)</f>
        <v>777</v>
      </c>
      <c r="B57" s="7" t="s">
        <v>3</v>
      </c>
      <c r="C57" s="8" t="s">
        <v>44</v>
      </c>
      <c r="D57" s="9">
        <f>IF([1]Sheet1!$D$40="ВРЕЗНАЯ",_xlfn.CONCAT('Расчетный лист'!B70," п/м."),0)</f>
        <v>0</v>
      </c>
      <c r="E57" s="9" t="s">
        <v>56</v>
      </c>
      <c r="F57" s="10">
        <f>IF([1]Sheet1!$D$40="ВРЕЗНАЯ",'Расчетный лист'!B70*[2]Sheet1!$B$48*Спецификация!B6,0)</f>
        <v>0</v>
      </c>
      <c r="G57" s="17"/>
    </row>
    <row r="58" spans="1:7" s="2" customFormat="1" ht="12" customHeight="1" x14ac:dyDescent="0.2">
      <c r="A58" s="30">
        <f>IF(F58=0,777,0)</f>
        <v>777</v>
      </c>
      <c r="B58" s="7" t="s">
        <v>3</v>
      </c>
      <c r="C58" s="8" t="s">
        <v>45</v>
      </c>
      <c r="D58" s="9">
        <f>IF([1]Sheet1!$D$40="НАКЛАДНАЯ",_xlfn.CONCAT('Расчетный лист'!B70," п/м."),0)</f>
        <v>0</v>
      </c>
      <c r="E58" s="9" t="s">
        <v>56</v>
      </c>
      <c r="F58" s="10">
        <f>IF([1]Sheet1!$D$40="НАКЛАДНАЯ",'Расчетный лист'!B70*[2]Sheet1!$B$49*Спецификация!B6,0)</f>
        <v>0</v>
      </c>
      <c r="G58" s="17"/>
    </row>
    <row r="59" spans="1:7" s="2" customFormat="1" ht="12" customHeight="1" x14ac:dyDescent="0.2">
      <c r="A59" s="28">
        <f>IF(SUM(F60)&gt;0,0,777)</f>
        <v>777</v>
      </c>
      <c r="B59" s="38" t="s">
        <v>51</v>
      </c>
      <c r="C59" s="38"/>
      <c r="D59" s="38"/>
      <c r="E59" s="38"/>
      <c r="F59" s="38"/>
      <c r="G59" s="15"/>
    </row>
    <row r="60" spans="1:7" s="2" customFormat="1" ht="12" customHeight="1" x14ac:dyDescent="0.2">
      <c r="A60" s="30">
        <f>IF(F60=0,777,0)</f>
        <v>777</v>
      </c>
      <c r="B60" s="7" t="s">
        <v>3</v>
      </c>
      <c r="C60" s="11">
        <f>[1]Sheet1!$D$42</f>
        <v>0</v>
      </c>
      <c r="D60" s="9" t="str">
        <f>_xlfn.CONCAT([1]Sheet1!$C$43," ед.изм.")</f>
        <v xml:space="preserve"> ед.изм.</v>
      </c>
      <c r="E60" s="9" t="str">
        <f>_xlfn.CONCAT("арт. ",[1]Sheet1!$C$44)</f>
        <v xml:space="preserve">арт. </v>
      </c>
      <c r="F60" s="10">
        <f>[1]Sheet1!$C$43*[1]Sheet1!$C$44*B6</f>
        <v>0</v>
      </c>
      <c r="G60" s="17"/>
    </row>
    <row r="61" spans="1:7" ht="12.6" customHeight="1" x14ac:dyDescent="0.2">
      <c r="B61" s="40" t="s">
        <v>2</v>
      </c>
      <c r="C61" s="40"/>
      <c r="D61" s="40"/>
      <c r="E61" s="40"/>
      <c r="F61" s="12">
        <f>SUM(F8:F18,F20:F24,F26:F30,F32:F40,F42,F44:F48,F50:F54,F56:F58,F60)</f>
        <v>0</v>
      </c>
    </row>
    <row r="62" spans="1:7" ht="12.6" customHeight="1" x14ac:dyDescent="0.2">
      <c r="B62" s="40" t="str">
        <f>IF([1]Sheet1!$B$14=0,"Доставка(по городу):",_xlfn.CONCAT("Доставка (с учетом ",[1]Sheet1!$C$45," км от КАД):"))</f>
        <v>Доставка (с учетом  км от КАД):</v>
      </c>
      <c r="C62" s="40"/>
      <c r="D62" s="40"/>
      <c r="E62" s="40"/>
      <c r="F62" s="12">
        <f>[2]Sheet1!$B$51+[2]Sheet1!$B$52*[1]Sheet1!$C$39</f>
        <v>3500</v>
      </c>
    </row>
    <row r="63" spans="1:7" ht="12.6" customHeight="1" x14ac:dyDescent="0.2">
      <c r="B63" s="40" t="s">
        <v>6</v>
      </c>
      <c r="C63" s="40"/>
      <c r="D63" s="40"/>
      <c r="E63" s="40"/>
      <c r="F63" s="13">
        <f>('Расчетный лист'!B28+'Расчетный лист'!B33+'Расчетный лист'!G43+'Расчетный лист'!G44+'Расчетный лист'!G45+'Расчетный лист'!G46)*250</f>
        <v>0</v>
      </c>
    </row>
    <row r="64" spans="1:7" ht="12.6" customHeight="1" x14ac:dyDescent="0.2">
      <c r="B64" s="40" t="s">
        <v>7</v>
      </c>
      <c r="C64" s="40"/>
      <c r="D64" s="40"/>
      <c r="E64" s="40"/>
      <c r="F64" s="12">
        <f>F61*0.1</f>
        <v>0</v>
      </c>
    </row>
    <row r="65" spans="2:6" x14ac:dyDescent="0.2">
      <c r="B65" s="43" t="s">
        <v>8</v>
      </c>
      <c r="C65" s="43"/>
      <c r="D65" s="43"/>
      <c r="E65" s="43"/>
      <c r="F65" s="14">
        <f>F61+F62+F63+F64</f>
        <v>3500</v>
      </c>
    </row>
    <row r="66" spans="2:6" x14ac:dyDescent="0.2">
      <c r="B66" s="41" t="s">
        <v>9</v>
      </c>
      <c r="C66" s="41"/>
      <c r="D66" s="41"/>
      <c r="E66" s="41"/>
      <c r="F66" s="41"/>
    </row>
    <row r="67" spans="2:6" x14ac:dyDescent="0.2">
      <c r="B67" s="42" t="str">
        <f>_xlfn.CONCAT("1. Срок изготовления изделия по данной спецификации составляет: ",[1]Sheet1!$C$46," рабочих дней с момента утвержения документов по электронной почте (3D проект, эскизы с размерами и описанием, спецификация).")</f>
        <v>1. Срок изготовления изделия по данной спецификации составляет:  рабочих дней с момента утвержения документов по электронной почте (3D проект, эскизы с размерами и описанием, спецификация).</v>
      </c>
      <c r="C67" s="42"/>
      <c r="D67" s="42"/>
      <c r="E67" s="42"/>
      <c r="F67" s="42"/>
    </row>
    <row r="68" spans="2:6" x14ac:dyDescent="0.2">
      <c r="B68" s="42"/>
      <c r="C68" s="42"/>
      <c r="D68" s="42"/>
      <c r="E68" s="42"/>
      <c r="F68" s="42"/>
    </row>
    <row r="69" spans="2:6" x14ac:dyDescent="0.2">
      <c r="B69" s="42" t="s">
        <v>10</v>
      </c>
      <c r="C69" s="42"/>
      <c r="D69" s="42"/>
      <c r="E69" s="42"/>
      <c r="F69" s="42"/>
    </row>
    <row r="70" spans="2:6" x14ac:dyDescent="0.2">
      <c r="B70" s="42"/>
      <c r="C70" s="42"/>
      <c r="D70" s="42"/>
      <c r="E70" s="42"/>
      <c r="F70" s="42"/>
    </row>
    <row r="71" spans="2:6" x14ac:dyDescent="0.2">
      <c r="B71" s="42"/>
      <c r="C71" s="42"/>
      <c r="D71" s="42"/>
      <c r="E71" s="42"/>
      <c r="F71" s="42"/>
    </row>
    <row r="72" spans="2:6" ht="11.25" customHeight="1" x14ac:dyDescent="0.2">
      <c r="B72" s="39" t="str">
        <f>_xlfn.CONCAT("3. Данный расчет был произведен по прайсу версия ",B6,".0")</f>
        <v>3. Данный расчет был произведен по прайсу версия 0.0</v>
      </c>
      <c r="C72" s="39"/>
      <c r="D72" s="39"/>
      <c r="E72" s="39"/>
      <c r="F72" s="39"/>
    </row>
    <row r="73" spans="2:6" x14ac:dyDescent="0.2">
      <c r="B73" s="4"/>
      <c r="C73" s="4"/>
      <c r="D73" s="4"/>
      <c r="E73" s="4"/>
      <c r="F73" s="4"/>
    </row>
  </sheetData>
  <mergeCells count="21">
    <mergeCell ref="B59:F59"/>
    <mergeCell ref="B72:F72"/>
    <mergeCell ref="B61:E61"/>
    <mergeCell ref="B66:F66"/>
    <mergeCell ref="B67:F68"/>
    <mergeCell ref="B69:F71"/>
    <mergeCell ref="B62:E62"/>
    <mergeCell ref="B63:E63"/>
    <mergeCell ref="B64:E64"/>
    <mergeCell ref="B65:E65"/>
    <mergeCell ref="B55:F55"/>
    <mergeCell ref="B7:F7"/>
    <mergeCell ref="B2:F2"/>
    <mergeCell ref="B4:F4"/>
    <mergeCell ref="B3:F3"/>
    <mergeCell ref="B49:F49"/>
    <mergeCell ref="B19:F19"/>
    <mergeCell ref="B43:F43"/>
    <mergeCell ref="B25:F25"/>
    <mergeCell ref="B31:F31"/>
    <mergeCell ref="B41:F41"/>
  </mergeCells>
  <phoneticPr fontId="4" type="noConversion"/>
  <printOptions horizontalCentered="1"/>
  <pageMargins left="0.23622047244094491" right="0.23622047244094491" top="0.31496062992125984" bottom="0.74803149606299213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3E00D-C7FC-4F76-8392-97FB3C9227B9}">
  <dimension ref="A1:G70"/>
  <sheetViews>
    <sheetView topLeftCell="A50" workbookViewId="0">
      <selection activeCell="B70" sqref="B70"/>
    </sheetView>
  </sheetViews>
  <sheetFormatPr defaultRowHeight="15" x14ac:dyDescent="0.25"/>
  <cols>
    <col min="1" max="1" width="28.85546875" customWidth="1"/>
    <col min="2" max="2" width="10.28515625" bestFit="1" customWidth="1"/>
  </cols>
  <sheetData>
    <row r="1" spans="1:2" x14ac:dyDescent="0.25">
      <c r="A1" s="18" t="s">
        <v>64</v>
      </c>
    </row>
    <row r="2" spans="1:2" x14ac:dyDescent="0.25">
      <c r="A2" s="19"/>
    </row>
    <row r="3" spans="1:2" x14ac:dyDescent="0.25">
      <c r="A3" t="s">
        <v>68</v>
      </c>
      <c r="B3">
        <f>IF([1]Sheet1!$D$5="УГЛОВАЯ",[1]Sheet1!$C$6-600,IF([1]Sheet1!$D$5="П-ОБРАЗНАЯ",[1]Sheet1!$C$6-1200,[1]Sheet1!$C$6))</f>
        <v>0</v>
      </c>
    </row>
    <row r="4" spans="1:2" x14ac:dyDescent="0.25">
      <c r="A4" t="s">
        <v>92</v>
      </c>
      <c r="B4">
        <f>IF([1]Sheet1!$D$5="УГЛОВАЯ",1200,IF([1]Sheet1!$D$5="П-ОБРАЗНАЯ",2400,0))</f>
        <v>0</v>
      </c>
    </row>
    <row r="5" spans="1:2" x14ac:dyDescent="0.25">
      <c r="A5" t="s">
        <v>93</v>
      </c>
      <c r="B5">
        <f>IF([1]Sheet1!$D$5="УГЛОВАЯ",[1]Sheet1!$C$26*2,IF([1]Sheet1!$D$5="П-ОБРАЗНАЯ",[1]Sheet1!$C$26*4,0))</f>
        <v>0</v>
      </c>
    </row>
    <row r="6" spans="1:2" x14ac:dyDescent="0.25">
      <c r="A6" t="s">
        <v>91</v>
      </c>
      <c r="B6">
        <f>[1]Sheet1!$C$11*600</f>
        <v>0</v>
      </c>
    </row>
    <row r="7" spans="1:2" x14ac:dyDescent="0.25">
      <c r="A7" s="21" t="s">
        <v>116</v>
      </c>
      <c r="B7">
        <f>IF([1]Sheet1!$D$8="НЕТ",0,600)</f>
        <v>600</v>
      </c>
    </row>
    <row r="8" spans="1:2" s="26" customFormat="1" x14ac:dyDescent="0.25"/>
    <row r="9" spans="1:2" s="26" customFormat="1" x14ac:dyDescent="0.25">
      <c r="A9" s="26" t="s">
        <v>117</v>
      </c>
      <c r="B9" s="26">
        <v>0.4</v>
      </c>
    </row>
    <row r="10" spans="1:2" s="26" customFormat="1" x14ac:dyDescent="0.25">
      <c r="A10" s="26" t="s">
        <v>118</v>
      </c>
      <c r="B10" s="26">
        <v>0.3</v>
      </c>
    </row>
    <row r="11" spans="1:2" s="26" customFormat="1" x14ac:dyDescent="0.25">
      <c r="A11" s="26" t="s">
        <v>123</v>
      </c>
      <c r="B11" s="26">
        <v>0.48</v>
      </c>
    </row>
    <row r="12" spans="1:2" s="26" customFormat="1" x14ac:dyDescent="0.25"/>
    <row r="13" spans="1:2" s="26" customFormat="1" x14ac:dyDescent="0.25">
      <c r="A13" s="26" t="s">
        <v>119</v>
      </c>
      <c r="B13" s="26">
        <f>([1]Sheet1!$C$26/1000)*([1]Sheet1!$C$27/1000)</f>
        <v>0</v>
      </c>
    </row>
    <row r="14" spans="1:2" s="26" customFormat="1" x14ac:dyDescent="0.25">
      <c r="A14" s="26" t="s">
        <v>120</v>
      </c>
      <c r="B14" s="26">
        <f>[1]Sheet1!$C$27/1000*0.6</f>
        <v>0</v>
      </c>
    </row>
    <row r="15" spans="1:2" s="26" customFormat="1" x14ac:dyDescent="0.25">
      <c r="A15" s="26" t="s">
        <v>124</v>
      </c>
      <c r="B15" s="26">
        <f>[1]Sheet1!$C$26/1000*0.6</f>
        <v>0</v>
      </c>
    </row>
    <row r="16" spans="1:2" s="26" customFormat="1" x14ac:dyDescent="0.25"/>
    <row r="17" spans="1:5" s="26" customFormat="1" x14ac:dyDescent="0.25">
      <c r="A17" s="26" t="s">
        <v>121</v>
      </c>
      <c r="B17" s="26">
        <f>([1]Sheet1!$C$32/1000)*([1]Sheet1!$C$33/1000)</f>
        <v>0</v>
      </c>
    </row>
    <row r="18" spans="1:5" s="26" customFormat="1" x14ac:dyDescent="0.25">
      <c r="A18" s="26" t="s">
        <v>122</v>
      </c>
      <c r="B18" s="26">
        <f>[1]Sheet1!$C$32/1000*0.6</f>
        <v>0</v>
      </c>
    </row>
    <row r="19" spans="1:5" s="26" customFormat="1" x14ac:dyDescent="0.25">
      <c r="A19" s="26" t="s">
        <v>125</v>
      </c>
      <c r="B19" s="26">
        <f>[1]Sheet1!$C$33/1000*0.6</f>
        <v>0</v>
      </c>
    </row>
    <row r="20" spans="1:5" s="26" customFormat="1" x14ac:dyDescent="0.25"/>
    <row r="21" spans="1:5" x14ac:dyDescent="0.25">
      <c r="A21" t="s">
        <v>58</v>
      </c>
      <c r="B21">
        <f>[1]Sheet1!$C$7/1000*0.58*[1]Sheet1!$C$11*2</f>
        <v>0</v>
      </c>
      <c r="C21">
        <f>B10*6*[1]Sheet1!$C$11</f>
        <v>0</v>
      </c>
    </row>
    <row r="22" spans="1:5" x14ac:dyDescent="0.25">
      <c r="A22" t="s">
        <v>59</v>
      </c>
      <c r="B22">
        <f>B9*[1]Sheet1!$C$16*2</f>
        <v>0</v>
      </c>
      <c r="C22">
        <f>B10*[1]Sheet1!$C$16</f>
        <v>0</v>
      </c>
      <c r="D22">
        <f>B10*[1]Sheet1!$C$17</f>
        <v>0</v>
      </c>
    </row>
    <row r="23" spans="1:5" x14ac:dyDescent="0.25">
      <c r="A23" t="s">
        <v>60</v>
      </c>
      <c r="B23">
        <f>B13*2*[1]Sheet1!$C$25</f>
        <v>0</v>
      </c>
      <c r="C23">
        <f>B14*2*[1]Sheet1!$C$25</f>
        <v>0</v>
      </c>
      <c r="D23">
        <f>B14*E23*[1]Sheet1!$C$25</f>
        <v>0</v>
      </c>
      <c r="E23">
        <f>_xlfn.FLOOR.MATH([1]Sheet1!$C$26/300)</f>
        <v>0</v>
      </c>
    </row>
    <row r="24" spans="1:5" x14ac:dyDescent="0.25">
      <c r="A24" t="s">
        <v>61</v>
      </c>
      <c r="B24">
        <f>B10*[1]Sheet1!$C$22</f>
        <v>0</v>
      </c>
    </row>
    <row r="25" spans="1:5" x14ac:dyDescent="0.25">
      <c r="A25" t="s">
        <v>65</v>
      </c>
      <c r="B25">
        <f>B17*2*[1]Sheet1!$C$31</f>
        <v>0</v>
      </c>
      <c r="C25">
        <f>B18*2*[1]Sheet1!$C$31</f>
        <v>0</v>
      </c>
    </row>
    <row r="27" spans="1:5" x14ac:dyDescent="0.25">
      <c r="A27" t="s">
        <v>62</v>
      </c>
      <c r="B27">
        <f>B21+B22+B23+B24+B25+C22+C23+C25+D22+D23+C21</f>
        <v>0</v>
      </c>
    </row>
    <row r="28" spans="1:5" x14ac:dyDescent="0.25">
      <c r="A28" t="s">
        <v>63</v>
      </c>
      <c r="B28">
        <f>_xlfn.CEILING.MATH(B27/5)</f>
        <v>0</v>
      </c>
    </row>
    <row r="30" spans="1:5" x14ac:dyDescent="0.25">
      <c r="A30" t="s">
        <v>66</v>
      </c>
      <c r="B30">
        <f>[1]Sheet1!$C$7/1000*0.6*[1]Sheet1!$C$11</f>
        <v>0</v>
      </c>
      <c r="C30">
        <f>B11*[1]Sheet1!$C$16</f>
        <v>0</v>
      </c>
      <c r="D30">
        <f>B15*[1]Sheet1!$C$25</f>
        <v>0</v>
      </c>
      <c r="E30">
        <f>B19*[1]Sheet1!$C$31</f>
        <v>0</v>
      </c>
    </row>
    <row r="32" spans="1:5" x14ac:dyDescent="0.25">
      <c r="A32" t="s">
        <v>67</v>
      </c>
      <c r="B32">
        <f>SUM(B30:E30)</f>
        <v>0</v>
      </c>
    </row>
    <row r="33" spans="1:7" x14ac:dyDescent="0.25">
      <c r="A33" t="s">
        <v>63</v>
      </c>
      <c r="B33">
        <f>_xlfn.CEILING.MATH(B32/5)</f>
        <v>0</v>
      </c>
    </row>
    <row r="35" spans="1:7" x14ac:dyDescent="0.25">
      <c r="E35" s="20"/>
      <c r="F35" s="23" t="s">
        <v>80</v>
      </c>
    </row>
    <row r="36" spans="1:7" x14ac:dyDescent="0.25">
      <c r="A36" t="s">
        <v>76</v>
      </c>
      <c r="B36">
        <f>IF([1]Sheet1!$D$20="РУЧКИ",[1]Sheet1!$C$17+[1]Sheet1!$C$22,0)</f>
        <v>0</v>
      </c>
      <c r="C36">
        <f>IF([1]Sheet1!$D$29="РУЧКИ",[1]Sheet1!$C$25,0)</f>
        <v>0</v>
      </c>
      <c r="D36">
        <f>IF([1]Sheet1!$D$35="РУЧКИ",[1]Sheet1!$C$31,0)</f>
        <v>0</v>
      </c>
      <c r="E36" s="20">
        <f>IF([1]Sheet1!$D$13="РУЧКИ",[1]Sheet1!$C$11*2,0)</f>
        <v>0</v>
      </c>
      <c r="F36" s="23">
        <f>SUM(B36:E36)</f>
        <v>0</v>
      </c>
    </row>
    <row r="37" spans="1:7" x14ac:dyDescent="0.25">
      <c r="A37" t="s">
        <v>77</v>
      </c>
      <c r="B37">
        <f>IF([1]Sheet1!$D$20="GOLA",([1]Sheet1!$C$17+[1]Sheet1!$C$22)*600,0)</f>
        <v>0</v>
      </c>
      <c r="E37" s="20">
        <f>IF([1]Sheet1!$D$13="GOLA",[1]Sheet1!$C$11*[1]Sheet1!$C$7,0)</f>
        <v>0</v>
      </c>
      <c r="F37" s="23">
        <f>_xlfn.CEILING.MATH((B37+E37)/4000)</f>
        <v>0</v>
      </c>
    </row>
    <row r="38" spans="1:7" x14ac:dyDescent="0.25">
      <c r="A38" t="s">
        <v>72</v>
      </c>
      <c r="B38">
        <f>IF([1]Sheet1!$D$20="PUSH",[1]Sheet1!$C$17+[1]Sheet1!$C$22,0)</f>
        <v>0</v>
      </c>
      <c r="C38">
        <f>IF([1]Sheet1!$D$29="PUSH",[1]Sheet1!$C$25,0)</f>
        <v>0</v>
      </c>
      <c r="D38">
        <f>IF([1]Sheet1!$D$35="PUSH",[1]Sheet1!$C$31,0)</f>
        <v>0</v>
      </c>
      <c r="E38" s="20">
        <f>IF([1]Sheet1!$D$13="РУЧКИ",[1]Sheet1!$C$11,0)+IF([1]Sheet1!$D$13="PUSH",[1]Sheet1!$C$11*3,0)</f>
        <v>0</v>
      </c>
      <c r="F38" s="23">
        <f>SUM(B38:E38)</f>
        <v>0</v>
      </c>
    </row>
    <row r="39" spans="1:7" x14ac:dyDescent="0.25">
      <c r="A39" t="s">
        <v>78</v>
      </c>
      <c r="C39">
        <f>IF([1]Sheet1!$D$29="СВЕС СНИЗУ",[1]Sheet1!$C$25,0)</f>
        <v>0</v>
      </c>
      <c r="E39" s="20"/>
      <c r="F39" s="23">
        <f>C39</f>
        <v>0</v>
      </c>
    </row>
    <row r="40" spans="1:7" x14ac:dyDescent="0.25">
      <c r="A40" t="s">
        <v>79</v>
      </c>
      <c r="B40">
        <f>IF([1]Sheet1!$D$20="КЛИЕНТА",[1]Sheet1!$C$17+[1]Sheet1!$C$22,0)</f>
        <v>0</v>
      </c>
      <c r="C40">
        <f>IF([1]Sheet1!$D$29="КЛИЕНТА",[1]Sheet1!$C$25,0)</f>
        <v>0</v>
      </c>
      <c r="D40">
        <f>IF([1]Sheet1!$D$35="КЛИЕНТА",[1]Sheet1!$C$31,0)</f>
        <v>0</v>
      </c>
      <c r="E40" s="20">
        <f>IF([1]Sheet1!$D$13="КЛИЕНТА",[1]Sheet1!$C$11*3,0)</f>
        <v>0</v>
      </c>
      <c r="F40" s="23">
        <f>SUM(B40:E40)</f>
        <v>0</v>
      </c>
    </row>
    <row r="41" spans="1:7" x14ac:dyDescent="0.25">
      <c r="F41" s="24"/>
    </row>
    <row r="42" spans="1:7" s="21" customFormat="1" x14ac:dyDescent="0.25">
      <c r="A42" s="21" t="s">
        <v>82</v>
      </c>
      <c r="F42" s="23" t="s">
        <v>80</v>
      </c>
      <c r="G42" s="23" t="s">
        <v>94</v>
      </c>
    </row>
    <row r="43" spans="1:7" x14ac:dyDescent="0.25">
      <c r="A43" t="s">
        <v>83</v>
      </c>
      <c r="B43">
        <f>IF([1]Sheet1!$D$19&lt;&gt;"ЛДСП",0,B11*[1]Sheet1!$C$16)</f>
        <v>0</v>
      </c>
      <c r="C43">
        <f>IF([1]Sheet1!$D$28&lt;&gt;"ЛДСП",0,B15*[1]Sheet1!$C$25)</f>
        <v>0</v>
      </c>
      <c r="D43">
        <f>IF([1]Sheet1!$D$34&lt;&gt;"ЛДСП",0,B19*[1]Sheet1!$C$31)</f>
        <v>0</v>
      </c>
      <c r="E43">
        <f>IF([1]Sheet1!$D$12&lt;&gt;"ЛДСП",0,[1]Sheet1!$C$11*0.6*([1]Sheet1!$C$7/1000))+IF([1]Sheet1!$D$12&lt;&gt;"ЛДСП",0,[1]Sheet1!$C$14*0.6*([1]Sheet1!$C$7/1000))</f>
        <v>0</v>
      </c>
      <c r="F43" s="23">
        <f>SUM(B43:E43)</f>
        <v>0</v>
      </c>
      <c r="G43" s="23">
        <f>_xlfn.CEILING.MATH(F43/5)</f>
        <v>0</v>
      </c>
    </row>
    <row r="44" spans="1:7" x14ac:dyDescent="0.25">
      <c r="A44" t="s">
        <v>84</v>
      </c>
      <c r="B44">
        <f>IF([1]Sheet1!$D$19&lt;&gt;"EGGER",0,B11*[1]Sheet1!$C$16)</f>
        <v>0</v>
      </c>
      <c r="C44">
        <f>IF([1]Sheet1!$D$28&lt;&gt;"EGGER",0,B15*[1]Sheet1!$C$25)</f>
        <v>0</v>
      </c>
      <c r="D44">
        <f>IF([1]Sheet1!$D$34&lt;&gt;"EGGER",0,B19*[1]Sheet1!$C$31)</f>
        <v>0</v>
      </c>
      <c r="E44">
        <f>IF([1]Sheet1!$D$12&lt;&gt;"EGGER",0,[1]Sheet1!$C$11*0.6*([1]Sheet1!$C$7/1000))+IF([1]Sheet1!$D$12&lt;&gt;"EGGER",0,[1]Sheet1!$C$14*0.6*([1]Sheet1!$C$7/1000))</f>
        <v>0</v>
      </c>
      <c r="F44" s="23">
        <f t="shared" ref="F44:F51" si="0">SUM(B44:E44)</f>
        <v>0</v>
      </c>
      <c r="G44" s="23">
        <f>_xlfn.CEILING.MATH(F44/5)</f>
        <v>0</v>
      </c>
    </row>
    <row r="45" spans="1:7" x14ac:dyDescent="0.25">
      <c r="A45" t="s">
        <v>85</v>
      </c>
      <c r="B45">
        <f>IF([1]Sheet1!$D$19&lt;&gt;"ПЛАСТИК",0,B11*[1]Sheet1!$C$16)</f>
        <v>0</v>
      </c>
      <c r="C45">
        <f>IF([1]Sheet1!$D$28&lt;&gt;"ПЛАСТИК",0,B15*[1]Sheet1!$C$25)</f>
        <v>0</v>
      </c>
      <c r="D45">
        <f>IF([1]Sheet1!$D$34&lt;&gt;"ПЛАСТИК",0,B19*[1]Sheet1!$C$31)</f>
        <v>0</v>
      </c>
      <c r="E45">
        <f>IF([1]Sheet1!$D$12&lt;&gt;"ПЛАСТИК",0,[1]Sheet1!$C$11*0.6*([1]Sheet1!$C$7/1000))+IF([1]Sheet1!$D$12&lt;&gt;"ПЛАСТИК",0,[1]Sheet1!$C$14*0.6*([1]Sheet1!$C$7/1000))</f>
        <v>0</v>
      </c>
      <c r="F45" s="23">
        <f t="shared" si="0"/>
        <v>0</v>
      </c>
      <c r="G45" s="23">
        <f>_xlfn.CEILING.MATH(F45/3)</f>
        <v>0</v>
      </c>
    </row>
    <row r="46" spans="1:7" x14ac:dyDescent="0.25">
      <c r="A46" t="s">
        <v>86</v>
      </c>
      <c r="B46">
        <f>IF([1]Sheet1!$D$19&lt;&gt;"AGT",0,B11*[1]Sheet1!$C$16)</f>
        <v>0</v>
      </c>
      <c r="C46">
        <f>IF([1]Sheet1!$D$28&lt;&gt;"AGT",0,B15*[1]Sheet1!$C$25)</f>
        <v>0</v>
      </c>
      <c r="D46">
        <f>IF([1]Sheet1!$D$34&lt;&gt;"AGT",0,B19*[1]Sheet1!$C$31)</f>
        <v>0</v>
      </c>
      <c r="E46">
        <f>IF([1]Sheet1!$D$12&lt;&gt;"AGT",0,[1]Sheet1!$C$11*0.6*([1]Sheet1!$C$7/1000))+IF([1]Sheet1!$D$12&lt;&gt;"AGT",0,[1]Sheet1!$C$14*0.6*([1]Sheet1!$C$7/1000))</f>
        <v>0</v>
      </c>
      <c r="F46" s="23">
        <f t="shared" si="0"/>
        <v>0</v>
      </c>
      <c r="G46" s="23">
        <f>_xlfn.CEILING.MATH(F46/3)</f>
        <v>0</v>
      </c>
    </row>
    <row r="47" spans="1:7" x14ac:dyDescent="0.25">
      <c r="A47" t="s">
        <v>87</v>
      </c>
      <c r="B47">
        <f>IF([1]Sheet1!$D$19&lt;&gt;"ПВХ",0,B11*[1]Sheet1!$C$16)</f>
        <v>0</v>
      </c>
      <c r="C47">
        <f>IF([1]Sheet1!$D$28&lt;&gt;"ПВХ",0,B15*[1]Sheet1!$C$25)</f>
        <v>0</v>
      </c>
      <c r="D47">
        <f>IF([1]Sheet1!$D$34&lt;&gt;"ПВХ",0,B19*[1]Sheet1!$C$31)</f>
        <v>0</v>
      </c>
      <c r="E47">
        <f>IF([1]Sheet1!$D$12&lt;&gt;"ПВХ",0,[1]Sheet1!$C$11*0.6*([1]Sheet1!$C$7/1000))+IF([1]Sheet1!$D$12&lt;&gt;"ПВХ",0,[1]Sheet1!$C$14*0.6*([1]Sheet1!$C$7/1000))</f>
        <v>0</v>
      </c>
      <c r="F47" s="23">
        <f t="shared" si="0"/>
        <v>0</v>
      </c>
      <c r="G47" s="23"/>
    </row>
    <row r="48" spans="1:7" x14ac:dyDescent="0.25">
      <c r="A48" t="s">
        <v>88</v>
      </c>
      <c r="B48">
        <f>IF([1]Sheet1!$D$19&lt;&gt;"ПВХ ФРЕЗА",0,B11*[1]Sheet1!$C$16)</f>
        <v>0</v>
      </c>
      <c r="C48">
        <f>IF([1]Sheet1!$D$28&lt;&gt;"ПВХ ФРЕЗА",0,B15*[1]Sheet1!$C$25)</f>
        <v>0</v>
      </c>
      <c r="D48">
        <f>IF([1]Sheet1!$D$34&lt;&gt;"ПВХ ФРЕЗА",0,B19*[1]Sheet1!$C$31)</f>
        <v>0</v>
      </c>
      <c r="E48">
        <f>IF([1]Sheet1!$D$12&lt;&gt;"ПВХ ФРЕЗА",0,[1]Sheet1!$C$11*0.6*([1]Sheet1!$C$7/1000))+IF([1]Sheet1!$D$12&lt;&gt;"ПВХ ФРЕЗА",0,[1]Sheet1!$C$14*0.6*([1]Sheet1!$C$7/1000))</f>
        <v>0</v>
      </c>
      <c r="F48" s="23">
        <f t="shared" si="0"/>
        <v>0</v>
      </c>
      <c r="G48" s="23"/>
    </row>
    <row r="49" spans="1:7" x14ac:dyDescent="0.25">
      <c r="A49" t="s">
        <v>89</v>
      </c>
      <c r="B49">
        <f>IF([1]Sheet1!$D$19&lt;&gt;"ЭМАЛЬ",0,B11*[1]Sheet1!$C$16)</f>
        <v>0</v>
      </c>
      <c r="C49">
        <f>IF([1]Sheet1!$D$28&lt;&gt;"ЭМАЛЬ",0,B15*[1]Sheet1!$C$25)</f>
        <v>0</v>
      </c>
      <c r="D49">
        <f>IF([1]Sheet1!$D$34&lt;&gt;"ЭМАЛЬ",0,B19*[1]Sheet1!$C$31)</f>
        <v>0</v>
      </c>
      <c r="E49">
        <f>IF([1]Sheet1!$D$12&lt;&gt;"ЭМАЛЬ",0,[1]Sheet1!$C$11*0.6*([1]Sheet1!$C$7/1000))+IF([1]Sheet1!$D$12&lt;&gt;"ЭМАЛЬ",0,[1]Sheet1!$C$14*0.6*([1]Sheet1!$C$7/1000))</f>
        <v>0</v>
      </c>
      <c r="F49" s="23">
        <f t="shared" si="0"/>
        <v>0</v>
      </c>
      <c r="G49" s="23"/>
    </row>
    <row r="50" spans="1:7" x14ac:dyDescent="0.25">
      <c r="A50" t="s">
        <v>90</v>
      </c>
      <c r="B50">
        <f>IF([1]Sheet1!$D$19&lt;&gt;"ЭМАЛЬ ФРЕЗА",0,B11*[1]Sheet1!$C$16)</f>
        <v>0</v>
      </c>
      <c r="C50">
        <f>IF([1]Sheet1!$D$28&lt;&gt;"ЭМАЛЬ ФРЕЗА",0,B15*[1]Sheet1!$C$25)</f>
        <v>0</v>
      </c>
      <c r="D50">
        <f>IF([1]Sheet1!$D$34&lt;&gt;"ЭМАЛЬ ФРЕЗА",0,B19*[1]Sheet1!$C$31)</f>
        <v>0</v>
      </c>
      <c r="E50">
        <f>IF([1]Sheet1!$D$12&lt;&gt;"ЭМАЛЬ ФРЕЗА",0,[1]Sheet1!$C$11*0.6*([1]Sheet1!$C$7/1000))+IF([1]Sheet1!$D$12&lt;&gt;"ЭМАЛЬ ФРЕЗА",0,[1]Sheet1!$C$14*0.6*([1]Sheet1!$C$7/1000))</f>
        <v>0</v>
      </c>
      <c r="F50" s="23">
        <f t="shared" si="0"/>
        <v>0</v>
      </c>
      <c r="G50" s="23"/>
    </row>
    <row r="51" spans="1:7" x14ac:dyDescent="0.25">
      <c r="A51" t="s">
        <v>126</v>
      </c>
      <c r="B51">
        <f>IF([1]Sheet1!$D$19&lt;&gt;"ЭМАЛЬ ГЛЯНЕЦ",0,B11*[1]Sheet1!$C$16)</f>
        <v>0</v>
      </c>
      <c r="C51">
        <f>IF([1]Sheet1!$D$28&lt;&gt;"ЭМАЛЬ ГЛЯНЕЦ",0,B15*[1]Sheet1!$C$25)</f>
        <v>0</v>
      </c>
      <c r="D51">
        <f>IF([1]Sheet1!$D$34&lt;&gt;"ЭМАЛЬ ГЛЯНЕЦ",0,B19*[1]Sheet1!$C$31)</f>
        <v>0</v>
      </c>
      <c r="E51">
        <f>IF([1]Sheet1!$D$12&lt;&gt;"ЭМАЛЬ ГЛЯНЕЦ",0,[1]Sheet1!$C$11*0.6*([1]Sheet1!$C$7/1000))+IF([1]Sheet1!$D$12&lt;&gt;"ЭМАЛЬ ГЛЯНЕЦ",0,[1]Sheet1!$C$14*0.6*([1]Sheet1!$C$7/1000))</f>
        <v>0</v>
      </c>
      <c r="F51" s="23">
        <f t="shared" si="0"/>
        <v>0</v>
      </c>
      <c r="G51" s="23"/>
    </row>
    <row r="53" spans="1:7" x14ac:dyDescent="0.25">
      <c r="A53" t="s">
        <v>102</v>
      </c>
      <c r="B53">
        <f>[1]Sheet1!$C$17*2</f>
        <v>0</v>
      </c>
      <c r="C53">
        <f>[1]Sheet1!$C$25*(_xlfn.FLOOR.MATH([1]Sheet1!$C$26/300))</f>
        <v>0</v>
      </c>
      <c r="D53">
        <f>[1]Sheet1!$C$31*2</f>
        <v>0</v>
      </c>
      <c r="E53">
        <f>[1]Sheet1!$C$11*6</f>
        <v>0</v>
      </c>
      <c r="F53" s="22">
        <f>SUM(B53:E53)</f>
        <v>0</v>
      </c>
    </row>
    <row r="55" spans="1:7" s="21" customFormat="1" x14ac:dyDescent="0.25">
      <c r="A55" s="21" t="s">
        <v>103</v>
      </c>
      <c r="B55" s="25"/>
    </row>
    <row r="56" spans="1:7" s="21" customFormat="1" x14ac:dyDescent="0.25">
      <c r="A56" s="21" t="s">
        <v>108</v>
      </c>
      <c r="B56" s="25">
        <f>B3-B6</f>
        <v>0</v>
      </c>
    </row>
    <row r="57" spans="1:7" x14ac:dyDescent="0.25">
      <c r="A57" t="s">
        <v>104</v>
      </c>
      <c r="B57" s="24">
        <f>IF([1]Sheet1!$D$38&lt;&gt;"СКИФ 3000",0,_xlfn.CEILING.MATH(B56/3000))</f>
        <v>0</v>
      </c>
    </row>
    <row r="58" spans="1:7" x14ac:dyDescent="0.25">
      <c r="A58" t="s">
        <v>105</v>
      </c>
      <c r="B58" s="24">
        <f>IF([1]Sheet1!$D$38&lt;&gt;"СКИФ 4200",0,_xlfn.CEILING.MATH(B56/4000))</f>
        <v>0</v>
      </c>
    </row>
    <row r="59" spans="1:7" x14ac:dyDescent="0.25">
      <c r="A59" t="s">
        <v>54</v>
      </c>
      <c r="B59" s="24">
        <f>IF([1]Sheet1!$D$38&lt;&gt;"SLOTEX",0,_xlfn.CEILING.MATH(B56/3000))</f>
        <v>0</v>
      </c>
    </row>
    <row r="60" spans="1:7" x14ac:dyDescent="0.25">
      <c r="A60" t="s">
        <v>106</v>
      </c>
      <c r="B60" s="24">
        <f>IF([1]Sheet1!$D$38&lt;&gt;"КОМПАКТ ЛАМИНАТ",0,_xlfn.CEILING.MATH(B56/3000))</f>
        <v>0</v>
      </c>
    </row>
    <row r="61" spans="1:7" x14ac:dyDescent="0.25">
      <c r="A61" t="s">
        <v>107</v>
      </c>
      <c r="B61" s="24">
        <f>IF([1]Sheet1!$D$38&lt;&gt;"АКРИЛ",0,_xlfn.CEILING.MATH(B56/1000*0.6,0.5))</f>
        <v>0</v>
      </c>
    </row>
    <row r="62" spans="1:7" s="21" customFormat="1" x14ac:dyDescent="0.25">
      <c r="A62" s="21" t="s">
        <v>109</v>
      </c>
      <c r="B62" s="25"/>
    </row>
    <row r="63" spans="1:7" x14ac:dyDescent="0.25">
      <c r="A63" t="s">
        <v>104</v>
      </c>
      <c r="B63" s="24">
        <f>IF([1]Sheet1!$D$39&lt;&gt;"СКИФ 3000",0,_xlfn.CEILING.MATH(([1]Sheet1!$C$6-B6)/3000))</f>
        <v>0</v>
      </c>
    </row>
    <row r="64" spans="1:7" x14ac:dyDescent="0.25">
      <c r="A64" t="s">
        <v>105</v>
      </c>
      <c r="B64" s="24">
        <f>IF([1]Sheet1!$D$39&lt;&gt;"СКИФ 4200",0,_xlfn.CEILING.MATH(([1]Sheet1!$C$6-B6)/4000))</f>
        <v>0</v>
      </c>
    </row>
    <row r="65" spans="1:2" x14ac:dyDescent="0.25">
      <c r="A65" t="s">
        <v>54</v>
      </c>
      <c r="B65" s="24">
        <f>IF([1]Sheet1!$D$39&lt;&gt;"SLOTEX",0,_xlfn.CEILING.MATH(([1]Sheet1!$C$6-B6)/3000))</f>
        <v>0</v>
      </c>
    </row>
    <row r="66" spans="1:2" x14ac:dyDescent="0.25">
      <c r="A66" t="s">
        <v>106</v>
      </c>
      <c r="B66" s="24">
        <f>IF([1]Sheet1!$D$39&lt;&gt;"КОМПАКТ ЛАМИНАТ",0,_xlfn.CEILING.MATH(([1]Sheet1!$C$6-B6)/3000))</f>
        <v>0</v>
      </c>
    </row>
    <row r="67" spans="1:2" x14ac:dyDescent="0.25">
      <c r="A67" t="s">
        <v>107</v>
      </c>
      <c r="B67" s="24">
        <f>IF([1]Sheet1!$D$39&lt;&gt;"АКРИЛ",0,_xlfn.CEILING.MATH(([1]Sheet1!$C$6-B6)/1000*0.6,0.5))</f>
        <v>0</v>
      </c>
    </row>
    <row r="69" spans="1:2" s="21" customFormat="1" x14ac:dyDescent="0.25">
      <c r="A69" s="21" t="s">
        <v>114</v>
      </c>
      <c r="B69" s="21">
        <f>IF([1]Sheet1!$D$40=0,0,1)</f>
        <v>0</v>
      </c>
    </row>
    <row r="70" spans="1:2" x14ac:dyDescent="0.25">
      <c r="A70" t="s">
        <v>115</v>
      </c>
      <c r="B70">
        <f>(B3-B6-B7)/1000*B69</f>
        <v>0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Спецификация</vt:lpstr>
      <vt:lpstr>Расчетный 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Pavel Mitkin</cp:lastModifiedBy>
  <cp:lastPrinted>2025-03-19T08:22:19Z</cp:lastPrinted>
  <dcterms:created xsi:type="dcterms:W3CDTF">2015-06-05T18:19:34Z</dcterms:created>
  <dcterms:modified xsi:type="dcterms:W3CDTF">2025-03-21T15:51:28Z</dcterms:modified>
</cp:coreProperties>
</file>