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_\Documents\GitHub\Final_Projekt\"/>
    </mc:Choice>
  </mc:AlternateContent>
  <xr:revisionPtr revIDLastSave="0" documentId="13_ncr:1_{9A6DFED9-E95C-46FF-8E13-86C7FB3B20FC}" xr6:coauthVersionLast="47" xr6:coauthVersionMax="47" xr10:uidLastSave="{00000000-0000-0000-0000-000000000000}"/>
  <bookViews>
    <workbookView xWindow="-110" yWindow="-110" windowWidth="19420" windowHeight="10420" xr2:uid="{0A810164-AAAD-42D0-97EF-F93D1DB3E434}"/>
  </bookViews>
  <sheets>
    <sheet name="Sheet1" sheetId="1" r:id="rId1"/>
  </sheets>
  <definedNames>
    <definedName name="_xlnm._FilterDatabase" localSheetId="0" hidden="1">Sheet1!$A$1:$BN$974</definedName>
    <definedName name="EPMWorkbookOptions_1" hidden="1">"IAEAAB+LCAAAAAAAAAqFj7EOgjAURXcT/6HpDgVNHEiBQUcNJgy61vKABmhJWymfLxohUQfX+87Ju5emY9eiAbQRSsY49AOMQHJVCFnF+G5LL9zhNFmv6EXp5qZUk/V2Qg2aPGmi0YgY19b2ESHOOd9tfaUrsgmCkFxPx5zX0DFPSGOZ5IAXq/hv4ekrQnTfAtMHZlkmczZAUrLWACXf8YudO561ssAtFDP9e/jkXYHIc+QCvlcmDz7HneUg"</definedName>
    <definedName name="EPMWorkbookOptions_2" hidden="1">"AQAA"</definedName>
    <definedName name="SOP_Connection_Name">"AM2 Prod"</definedName>
    <definedName name="SOP_Filter" localSheetId="0">{"Location ID = ASCPL; ASCGB; ASCNB; ASCFU; ASCTI","Parent Customer Group = PMI","Material Group = FG"}</definedName>
    <definedName name="SOP_Filter_Criteria_Count" localSheetId="0">3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11" localSheetId="0">" "</definedName>
    <definedName name="SOP_Heading12" localSheetId="0">" "</definedName>
    <definedName name="SOP_Heading13" localSheetId="0">" "</definedName>
    <definedName name="SOP_Heading14" localSheetId="0">" "</definedName>
    <definedName name="SOP_Heading15" localSheetId="0">" "</definedName>
    <definedName name="SOP_Heading2" localSheetId="0">"Parent Customer Group"</definedName>
    <definedName name="SOP_Heading3" localSheetId="0">"Market Description"</definedName>
    <definedName name="SOP_Heading4" localSheetId="0">"Market (ASC)"</definedName>
    <definedName name="SOP_Heading5" localSheetId="0">"Brand"</definedName>
    <definedName name="SOP_Heading6" localSheetId="0">"Product ID"</definedName>
    <definedName name="SOP_Heading7" localSheetId="0">"Location ID"</definedName>
    <definedName name="SOP_Heading8" localSheetId="0">" "</definedName>
    <definedName name="SOP_Heading9" localSheetId="0">" "</definedName>
    <definedName name="SOP_Planning_Area">"AM2"</definedName>
    <definedName name="SOP_Planning_Scope">"No Planning Unit selected | TW22a 2024 - TW27a 2026 | Base Version | Baseline"</definedName>
    <definedName name="SOP_Planning_Scope_v2">" "</definedName>
    <definedName name="SOP_Refresh_Timestamp">45439.3261342593</definedName>
    <definedName name="SOP_TargetCurrency" localSheetId="0">"EUR"</definedName>
    <definedName name="SOP_TargetUoM" localSheetId="0">"bas"</definedName>
    <definedName name="SOP_Value_Based_Filter" localSheetId="0">{" "}</definedName>
    <definedName name="SOP_Value_Based_Filter_Name" localSheetId="0">"(None)"</definedName>
    <definedName name="SOP_WB_Filter">{" "}</definedName>
    <definedName name="SOP_WB_Filter_Criteria_Count">0</definedName>
    <definedName name="SOP_WB_Filter_Name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5" i="1" l="1"/>
  <c r="B713" i="1"/>
  <c r="B712" i="1"/>
  <c r="B719" i="1"/>
  <c r="B717" i="1"/>
  <c r="B724" i="1"/>
  <c r="B723" i="1"/>
  <c r="B711" i="1"/>
  <c r="B718" i="1"/>
  <c r="B716" i="1"/>
  <c r="B714" i="1"/>
  <c r="B722" i="1"/>
  <c r="B490" i="1"/>
  <c r="B721" i="1"/>
  <c r="B720" i="1"/>
  <c r="B715" i="1"/>
  <c r="E974" i="1"/>
  <c r="E960" i="1"/>
  <c r="E948" i="1"/>
  <c r="E936" i="1"/>
  <c r="E920" i="1"/>
  <c r="E907" i="1"/>
  <c r="E895" i="1"/>
  <c r="E883" i="1"/>
  <c r="E871" i="1"/>
  <c r="E857" i="1"/>
  <c r="E840" i="1"/>
  <c r="E824" i="1"/>
  <c r="E812" i="1"/>
  <c r="E800" i="1"/>
  <c r="E787" i="1"/>
  <c r="E775" i="1"/>
  <c r="E763" i="1"/>
  <c r="E751" i="1"/>
  <c r="E739" i="1"/>
  <c r="E727" i="1"/>
  <c r="E610" i="1"/>
  <c r="E460" i="1"/>
  <c r="E448" i="1"/>
  <c r="E426" i="1"/>
  <c r="E414" i="1"/>
  <c r="E402" i="1"/>
  <c r="E184" i="1"/>
  <c r="E180" i="1"/>
  <c r="E161" i="1"/>
  <c r="E145" i="1"/>
  <c r="E133" i="1"/>
  <c r="E121" i="1"/>
  <c r="E109" i="1"/>
  <c r="E94" i="1"/>
  <c r="E82" i="1"/>
  <c r="E70" i="1"/>
  <c r="E58" i="1"/>
  <c r="E46" i="1"/>
  <c r="E29" i="1"/>
  <c r="E120" i="1"/>
  <c r="E93" i="1"/>
  <c r="E81" i="1"/>
  <c r="E69" i="1"/>
  <c r="E28" i="1"/>
  <c r="E89" i="1"/>
  <c r="E954" i="1"/>
  <c r="E863" i="1"/>
  <c r="E793" i="1"/>
  <c r="E733" i="1"/>
  <c r="E408" i="1"/>
  <c r="E139" i="1"/>
  <c r="E88" i="1"/>
  <c r="E927" i="1"/>
  <c r="E862" i="1"/>
  <c r="E805" i="1"/>
  <c r="E661" i="1"/>
  <c r="E419" i="1"/>
  <c r="E99" i="1"/>
  <c r="E51" i="1"/>
  <c r="E15" i="1"/>
  <c r="E940" i="1"/>
  <c r="E875" i="1"/>
  <c r="E791" i="1"/>
  <c r="E731" i="1"/>
  <c r="E464" i="1"/>
  <c r="E171" i="1"/>
  <c r="E86" i="1"/>
  <c r="E33" i="1"/>
  <c r="E951" i="1"/>
  <c r="E845" i="1"/>
  <c r="E754" i="1"/>
  <c r="E417" i="1"/>
  <c r="E136" i="1"/>
  <c r="E61" i="1"/>
  <c r="E909" i="1"/>
  <c r="E753" i="1"/>
  <c r="E462" i="1"/>
  <c r="E404" i="1"/>
  <c r="E123" i="1"/>
  <c r="E48" i="1"/>
  <c r="E962" i="1"/>
  <c r="E825" i="1"/>
  <c r="E764" i="1"/>
  <c r="E973" i="1"/>
  <c r="E959" i="1"/>
  <c r="E947" i="1"/>
  <c r="E935" i="1"/>
  <c r="E919" i="1"/>
  <c r="E906" i="1"/>
  <c r="E894" i="1"/>
  <c r="E882" i="1"/>
  <c r="E870" i="1"/>
  <c r="E856" i="1"/>
  <c r="E839" i="1"/>
  <c r="E823" i="1"/>
  <c r="E811" i="1"/>
  <c r="E799" i="1"/>
  <c r="E786" i="1"/>
  <c r="E774" i="1"/>
  <c r="E762" i="1"/>
  <c r="E750" i="1"/>
  <c r="E738" i="1"/>
  <c r="E726" i="1"/>
  <c r="E467" i="1"/>
  <c r="E459" i="1"/>
  <c r="E447" i="1"/>
  <c r="E425" i="1"/>
  <c r="E413" i="1"/>
  <c r="E240" i="1"/>
  <c r="E183" i="1"/>
  <c r="E178" i="1"/>
  <c r="E156" i="1"/>
  <c r="E144" i="1"/>
  <c r="E132" i="1"/>
  <c r="E105" i="1"/>
  <c r="E57" i="1"/>
  <c r="E45" i="1"/>
  <c r="E53" i="1"/>
  <c r="E942" i="1"/>
  <c r="E831" i="1"/>
  <c r="E745" i="1"/>
  <c r="E454" i="1"/>
  <c r="E173" i="1"/>
  <c r="E100" i="1"/>
  <c r="E35" i="1"/>
  <c r="E967" i="1"/>
  <c r="E900" i="1"/>
  <c r="E876" i="1"/>
  <c r="E792" i="1"/>
  <c r="E189" i="1"/>
  <c r="E138" i="1"/>
  <c r="E87" i="1"/>
  <c r="E966" i="1"/>
  <c r="E911" i="1"/>
  <c r="E846" i="1"/>
  <c r="E779" i="1"/>
  <c r="E98" i="1"/>
  <c r="E939" i="1"/>
  <c r="E860" i="1"/>
  <c r="E803" i="1"/>
  <c r="E463" i="1"/>
  <c r="E148" i="1"/>
  <c r="E49" i="1"/>
  <c r="E938" i="1"/>
  <c r="E859" i="1"/>
  <c r="E789" i="1"/>
  <c r="E653" i="1"/>
  <c r="E147" i="1"/>
  <c r="E72" i="1"/>
  <c r="E908" i="1"/>
  <c r="E813" i="1"/>
  <c r="E740" i="1"/>
  <c r="E972" i="1"/>
  <c r="E958" i="1"/>
  <c r="E946" i="1"/>
  <c r="E933" i="1"/>
  <c r="E917" i="1"/>
  <c r="E905" i="1"/>
  <c r="E893" i="1"/>
  <c r="E881" i="1"/>
  <c r="E869" i="1"/>
  <c r="E855" i="1"/>
  <c r="E837" i="1"/>
  <c r="E822" i="1"/>
  <c r="E810" i="1"/>
  <c r="E798" i="1"/>
  <c r="E785" i="1"/>
  <c r="E773" i="1"/>
  <c r="E761" i="1"/>
  <c r="E749" i="1"/>
  <c r="E737" i="1"/>
  <c r="E666" i="1"/>
  <c r="E466" i="1"/>
  <c r="E458" i="1"/>
  <c r="E446" i="1"/>
  <c r="E424" i="1"/>
  <c r="E412" i="1"/>
  <c r="E239" i="1"/>
  <c r="E182" i="1"/>
  <c r="E177" i="1"/>
  <c r="E155" i="1"/>
  <c r="E143" i="1"/>
  <c r="E131" i="1"/>
  <c r="E119" i="1"/>
  <c r="E104" i="1"/>
  <c r="E92" i="1"/>
  <c r="E80" i="1"/>
  <c r="E68" i="1"/>
  <c r="E56" i="1"/>
  <c r="E39" i="1"/>
  <c r="E141" i="1"/>
  <c r="E117" i="1"/>
  <c r="E37" i="1"/>
  <c r="E943" i="1"/>
  <c r="E902" i="1"/>
  <c r="E878" i="1"/>
  <c r="E834" i="1"/>
  <c r="E794" i="1"/>
  <c r="E770" i="1"/>
  <c r="E734" i="1"/>
  <c r="E443" i="1"/>
  <c r="E191" i="1"/>
  <c r="E152" i="1"/>
  <c r="E128" i="1"/>
  <c r="E116" i="1"/>
  <c r="E77" i="1"/>
  <c r="E65" i="1"/>
  <c r="E968" i="1"/>
  <c r="E928" i="1"/>
  <c r="E889" i="1"/>
  <c r="E877" i="1"/>
  <c r="E818" i="1"/>
  <c r="E769" i="1"/>
  <c r="E662" i="1"/>
  <c r="E442" i="1"/>
  <c r="E115" i="1"/>
  <c r="E76" i="1"/>
  <c r="E16" i="1"/>
  <c r="E912" i="1"/>
  <c r="E849" i="1"/>
  <c r="E817" i="1"/>
  <c r="E768" i="1"/>
  <c r="E756" i="1"/>
  <c r="E732" i="1"/>
  <c r="E465" i="1"/>
  <c r="E431" i="1"/>
  <c r="E407" i="1"/>
  <c r="E172" i="1"/>
  <c r="E150" i="1"/>
  <c r="E114" i="1"/>
  <c r="E63" i="1"/>
  <c r="E828" i="1"/>
  <c r="E755" i="1"/>
  <c r="E660" i="1"/>
  <c r="E430" i="1"/>
  <c r="E406" i="1"/>
  <c r="E149" i="1"/>
  <c r="E113" i="1"/>
  <c r="E50" i="1"/>
  <c r="E965" i="1"/>
  <c r="E910" i="1"/>
  <c r="E886" i="1"/>
  <c r="E815" i="1"/>
  <c r="E766" i="1"/>
  <c r="E742" i="1"/>
  <c r="E429" i="1"/>
  <c r="E187" i="1"/>
  <c r="E124" i="1"/>
  <c r="E73" i="1"/>
  <c r="E950" i="1"/>
  <c r="E885" i="1"/>
  <c r="E843" i="1"/>
  <c r="E777" i="1"/>
  <c r="E729" i="1"/>
  <c r="E450" i="1"/>
  <c r="E416" i="1"/>
  <c r="E169" i="1"/>
  <c r="E135" i="1"/>
  <c r="E84" i="1"/>
  <c r="E31" i="1"/>
  <c r="E949" i="1"/>
  <c r="E896" i="1"/>
  <c r="E858" i="1"/>
  <c r="E801" i="1"/>
  <c r="E728" i="1"/>
  <c r="E971" i="1"/>
  <c r="E957" i="1"/>
  <c r="E945" i="1"/>
  <c r="E932" i="1"/>
  <c r="E916" i="1"/>
  <c r="E904" i="1"/>
  <c r="E892" i="1"/>
  <c r="E880" i="1"/>
  <c r="E868" i="1"/>
  <c r="E854" i="1"/>
  <c r="E836" i="1"/>
  <c r="E821" i="1"/>
  <c r="E809" i="1"/>
  <c r="E797" i="1"/>
  <c r="E784" i="1"/>
  <c r="E772" i="1"/>
  <c r="E760" i="1"/>
  <c r="E748" i="1"/>
  <c r="E736" i="1"/>
  <c r="E665" i="1"/>
  <c r="E457" i="1"/>
  <c r="E445" i="1"/>
  <c r="E423" i="1"/>
  <c r="E411" i="1"/>
  <c r="E201" i="1"/>
  <c r="E176" i="1"/>
  <c r="E154" i="1"/>
  <c r="E142" i="1"/>
  <c r="E130" i="1"/>
  <c r="E118" i="1"/>
  <c r="E103" i="1"/>
  <c r="E91" i="1"/>
  <c r="E79" i="1"/>
  <c r="E67" i="1"/>
  <c r="E55" i="1"/>
  <c r="E38" i="1"/>
  <c r="E456" i="1"/>
  <c r="E422" i="1"/>
  <c r="E410" i="1"/>
  <c r="E153" i="1"/>
  <c r="E129" i="1"/>
  <c r="E90" i="1"/>
  <c r="E78" i="1"/>
  <c r="E54" i="1"/>
  <c r="E955" i="1"/>
  <c r="E930" i="1"/>
  <c r="E890" i="1"/>
  <c r="E852" i="1"/>
  <c r="E819" i="1"/>
  <c r="E758" i="1"/>
  <c r="E663" i="1"/>
  <c r="E455" i="1"/>
  <c r="E421" i="1"/>
  <c r="E901" i="1"/>
  <c r="E850" i="1"/>
  <c r="E806" i="1"/>
  <c r="E757" i="1"/>
  <c r="E420" i="1"/>
  <c r="E190" i="1"/>
  <c r="E127" i="1"/>
  <c r="E52" i="1"/>
  <c r="E941" i="1"/>
  <c r="E926" i="1"/>
  <c r="E899" i="1"/>
  <c r="E861" i="1"/>
  <c r="E816" i="1"/>
  <c r="E743" i="1"/>
  <c r="E418" i="1"/>
  <c r="E125" i="1"/>
  <c r="E62" i="1"/>
  <c r="E898" i="1"/>
  <c r="E874" i="1"/>
  <c r="E827" i="1"/>
  <c r="E778" i="1"/>
  <c r="E654" i="1"/>
  <c r="E405" i="1"/>
  <c r="E170" i="1"/>
  <c r="E112" i="1"/>
  <c r="E85" i="1"/>
  <c r="E32" i="1"/>
  <c r="E963" i="1"/>
  <c r="E897" i="1"/>
  <c r="E873" i="1"/>
  <c r="E814" i="1"/>
  <c r="E802" i="1"/>
  <c r="E765" i="1"/>
  <c r="E96" i="1"/>
  <c r="E60" i="1"/>
  <c r="E922" i="1"/>
  <c r="E884" i="1"/>
  <c r="E842" i="1"/>
  <c r="E776" i="1"/>
  <c r="E752" i="1"/>
  <c r="E611" i="1"/>
  <c r="E449" i="1"/>
  <c r="E970" i="1"/>
  <c r="E956" i="1"/>
  <c r="E944" i="1"/>
  <c r="E931" i="1"/>
  <c r="E915" i="1"/>
  <c r="E903" i="1"/>
  <c r="E891" i="1"/>
  <c r="E879" i="1"/>
  <c r="E867" i="1"/>
  <c r="E853" i="1"/>
  <c r="E835" i="1"/>
  <c r="E820" i="1"/>
  <c r="E808" i="1"/>
  <c r="E795" i="1"/>
  <c r="E783" i="1"/>
  <c r="E771" i="1"/>
  <c r="E759" i="1"/>
  <c r="E747" i="1"/>
  <c r="E735" i="1"/>
  <c r="E664" i="1"/>
  <c r="E444" i="1"/>
  <c r="E200" i="1"/>
  <c r="E175" i="1"/>
  <c r="E102" i="1"/>
  <c r="E66" i="1"/>
  <c r="E969" i="1"/>
  <c r="E914" i="1"/>
  <c r="E865" i="1"/>
  <c r="E807" i="1"/>
  <c r="E782" i="1"/>
  <c r="E746" i="1"/>
  <c r="E409" i="1"/>
  <c r="E174" i="1"/>
  <c r="E140" i="1"/>
  <c r="E101" i="1"/>
  <c r="E36" i="1"/>
  <c r="E17" i="1"/>
  <c r="E913" i="1"/>
  <c r="E781" i="1"/>
  <c r="E151" i="1"/>
  <c r="E64" i="1"/>
  <c r="E953" i="1"/>
  <c r="E888" i="1"/>
  <c r="E830" i="1"/>
  <c r="E780" i="1"/>
  <c r="E744" i="1"/>
  <c r="E453" i="1"/>
  <c r="E126" i="1"/>
  <c r="E75" i="1"/>
  <c r="E34" i="1"/>
  <c r="E952" i="1"/>
  <c r="E887" i="1"/>
  <c r="E804" i="1"/>
  <c r="E767" i="1"/>
  <c r="E452" i="1"/>
  <c r="E188" i="1"/>
  <c r="E137" i="1"/>
  <c r="E74" i="1"/>
  <c r="E14" i="1"/>
  <c r="E925" i="1"/>
  <c r="E790" i="1"/>
  <c r="E730" i="1"/>
  <c r="E451" i="1"/>
  <c r="E97" i="1"/>
  <c r="E923" i="1"/>
  <c r="E826" i="1"/>
  <c r="E741" i="1"/>
  <c r="E428" i="1"/>
  <c r="E186" i="1"/>
  <c r="E111" i="1"/>
  <c r="E937" i="1"/>
  <c r="E872" i="1"/>
  <c r="E788" i="1"/>
  <c r="E461" i="1"/>
  <c r="E83" i="1"/>
  <c r="E110" i="1"/>
  <c r="E427" i="1"/>
  <c r="E71" i="1"/>
  <c r="E134" i="1"/>
  <c r="E415" i="1"/>
  <c r="E59" i="1"/>
  <c r="E47" i="1"/>
  <c r="E162" i="1"/>
  <c r="E146" i="1"/>
  <c r="E95" i="1"/>
  <c r="E403" i="1"/>
  <c r="E185" i="1"/>
  <c r="E30" i="1"/>
  <c r="E181" i="1"/>
  <c r="E122" i="1"/>
  <c r="D974" i="1"/>
  <c r="D962" i="1"/>
  <c r="D950" i="1"/>
  <c r="D938" i="1"/>
  <c r="D926" i="1"/>
  <c r="D914" i="1"/>
  <c r="D902" i="1"/>
  <c r="D890" i="1"/>
  <c r="D878" i="1"/>
  <c r="D866" i="1"/>
  <c r="D854" i="1"/>
  <c r="D842" i="1"/>
  <c r="D830" i="1"/>
  <c r="D818" i="1"/>
  <c r="D806" i="1"/>
  <c r="D794" i="1"/>
  <c r="D782" i="1"/>
  <c r="D770" i="1"/>
  <c r="D758" i="1"/>
  <c r="D746" i="1"/>
  <c r="D732" i="1"/>
  <c r="D661" i="1"/>
  <c r="D465" i="1"/>
  <c r="D453" i="1"/>
  <c r="D431" i="1"/>
  <c r="D419" i="1"/>
  <c r="D407" i="1"/>
  <c r="D200" i="1"/>
  <c r="D171" i="1"/>
  <c r="D145" i="1"/>
  <c r="D123" i="1"/>
  <c r="D109" i="1"/>
  <c r="D94" i="1"/>
  <c r="D71" i="1"/>
  <c r="D57" i="1"/>
  <c r="D45" i="1"/>
  <c r="D28" i="1"/>
  <c r="D791" i="1"/>
  <c r="D653" i="1"/>
  <c r="D428" i="1"/>
  <c r="D189" i="1"/>
  <c r="D118" i="1"/>
  <c r="D54" i="1"/>
  <c r="D958" i="1"/>
  <c r="D910" i="1"/>
  <c r="D862" i="1"/>
  <c r="D826" i="1"/>
  <c r="D790" i="1"/>
  <c r="D728" i="1"/>
  <c r="D449" i="1"/>
  <c r="D415" i="1"/>
  <c r="D161" i="1"/>
  <c r="D79" i="1"/>
  <c r="D36" i="1"/>
  <c r="D945" i="1"/>
  <c r="D897" i="1"/>
  <c r="D849" i="1"/>
  <c r="D801" i="1"/>
  <c r="D753" i="1"/>
  <c r="D610" i="1"/>
  <c r="D426" i="1"/>
  <c r="D101" i="1"/>
  <c r="D35" i="1"/>
  <c r="D17" i="1"/>
  <c r="D944" i="1"/>
  <c r="D884" i="1"/>
  <c r="D836" i="1"/>
  <c r="D800" i="1"/>
  <c r="D764" i="1"/>
  <c r="D467" i="1"/>
  <c r="D447" i="1"/>
  <c r="D186" i="1"/>
  <c r="D973" i="1"/>
  <c r="D961" i="1"/>
  <c r="D949" i="1"/>
  <c r="D937" i="1"/>
  <c r="D925" i="1"/>
  <c r="D913" i="1"/>
  <c r="D901" i="1"/>
  <c r="D889" i="1"/>
  <c r="D877" i="1"/>
  <c r="D865" i="1"/>
  <c r="D853" i="1"/>
  <c r="D841" i="1"/>
  <c r="D829" i="1"/>
  <c r="D817" i="1"/>
  <c r="D805" i="1"/>
  <c r="D793" i="1"/>
  <c r="D781" i="1"/>
  <c r="D769" i="1"/>
  <c r="D757" i="1"/>
  <c r="D743" i="1"/>
  <c r="D731" i="1"/>
  <c r="D660" i="1"/>
  <c r="D464" i="1"/>
  <c r="D452" i="1"/>
  <c r="D430" i="1"/>
  <c r="D418" i="1"/>
  <c r="D406" i="1"/>
  <c r="D191" i="1"/>
  <c r="D170" i="1"/>
  <c r="D134" i="1"/>
  <c r="D122" i="1"/>
  <c r="D105" i="1"/>
  <c r="D91" i="1"/>
  <c r="D70" i="1"/>
  <c r="D56" i="1"/>
  <c r="D39" i="1"/>
  <c r="D451" i="1"/>
  <c r="D417" i="1"/>
  <c r="D190" i="1"/>
  <c r="D169" i="1"/>
  <c r="D121" i="1"/>
  <c r="D104" i="1"/>
  <c r="D67" i="1"/>
  <c r="D55" i="1"/>
  <c r="D971" i="1"/>
  <c r="D947" i="1"/>
  <c r="D935" i="1"/>
  <c r="D911" i="1"/>
  <c r="D899" i="1"/>
  <c r="D875" i="1"/>
  <c r="D863" i="1"/>
  <c r="D839" i="1"/>
  <c r="D827" i="1"/>
  <c r="D803" i="1"/>
  <c r="D779" i="1"/>
  <c r="D755" i="1"/>
  <c r="D729" i="1"/>
  <c r="D450" i="1"/>
  <c r="D416" i="1"/>
  <c r="D132" i="1"/>
  <c r="D103" i="1"/>
  <c r="D66" i="1"/>
  <c r="D37" i="1"/>
  <c r="D970" i="1"/>
  <c r="D934" i="1"/>
  <c r="D922" i="1"/>
  <c r="D898" i="1"/>
  <c r="D874" i="1"/>
  <c r="D838" i="1"/>
  <c r="D802" i="1"/>
  <c r="D778" i="1"/>
  <c r="D754" i="1"/>
  <c r="D611" i="1"/>
  <c r="D461" i="1"/>
  <c r="D403" i="1"/>
  <c r="D188" i="1"/>
  <c r="D131" i="1"/>
  <c r="D102" i="1"/>
  <c r="D53" i="1"/>
  <c r="D957" i="1"/>
  <c r="D933" i="1"/>
  <c r="D909" i="1"/>
  <c r="D885" i="1"/>
  <c r="D861" i="1"/>
  <c r="D837" i="1"/>
  <c r="D813" i="1"/>
  <c r="D789" i="1"/>
  <c r="D765" i="1"/>
  <c r="D739" i="1"/>
  <c r="D448" i="1"/>
  <c r="D414" i="1"/>
  <c r="D187" i="1"/>
  <c r="D156" i="1"/>
  <c r="D116" i="1"/>
  <c r="D78" i="1"/>
  <c r="D52" i="1"/>
  <c r="D968" i="1"/>
  <c r="D932" i="1"/>
  <c r="D920" i="1"/>
  <c r="D896" i="1"/>
  <c r="D872" i="1"/>
  <c r="D848" i="1"/>
  <c r="D812" i="1"/>
  <c r="D788" i="1"/>
  <c r="D752" i="1"/>
  <c r="D726" i="1"/>
  <c r="D425" i="1"/>
  <c r="D391" i="1"/>
  <c r="D972" i="1"/>
  <c r="D960" i="1"/>
  <c r="D948" i="1"/>
  <c r="D936" i="1"/>
  <c r="D924" i="1"/>
  <c r="D912" i="1"/>
  <c r="D900" i="1"/>
  <c r="D888" i="1"/>
  <c r="D876" i="1"/>
  <c r="D864" i="1"/>
  <c r="D852" i="1"/>
  <c r="D840" i="1"/>
  <c r="D828" i="1"/>
  <c r="D816" i="1"/>
  <c r="D804" i="1"/>
  <c r="D792" i="1"/>
  <c r="D780" i="1"/>
  <c r="D768" i="1"/>
  <c r="D756" i="1"/>
  <c r="D742" i="1"/>
  <c r="D730" i="1"/>
  <c r="D654" i="1"/>
  <c r="D463" i="1"/>
  <c r="D429" i="1"/>
  <c r="D405" i="1"/>
  <c r="D133" i="1"/>
  <c r="D90" i="1"/>
  <c r="D38" i="1"/>
  <c r="D959" i="1"/>
  <c r="D923" i="1"/>
  <c r="D887" i="1"/>
  <c r="D851" i="1"/>
  <c r="D815" i="1"/>
  <c r="D767" i="1"/>
  <c r="D741" i="1"/>
  <c r="D462" i="1"/>
  <c r="D404" i="1"/>
  <c r="D162" i="1"/>
  <c r="D80" i="1"/>
  <c r="D946" i="1"/>
  <c r="D886" i="1"/>
  <c r="D850" i="1"/>
  <c r="D814" i="1"/>
  <c r="D766" i="1"/>
  <c r="D740" i="1"/>
  <c r="D427" i="1"/>
  <c r="D117" i="1"/>
  <c r="D65" i="1"/>
  <c r="D969" i="1"/>
  <c r="D921" i="1"/>
  <c r="D873" i="1"/>
  <c r="D825" i="1"/>
  <c r="D777" i="1"/>
  <c r="D727" i="1"/>
  <c r="D460" i="1"/>
  <c r="D402" i="1"/>
  <c r="D130" i="1"/>
  <c r="D64" i="1"/>
  <c r="D956" i="1"/>
  <c r="D908" i="1"/>
  <c r="D860" i="1"/>
  <c r="D824" i="1"/>
  <c r="D776" i="1"/>
  <c r="D738" i="1"/>
  <c r="D459" i="1"/>
  <c r="D413" i="1"/>
  <c r="D155" i="1"/>
  <c r="D967" i="1"/>
  <c r="D941" i="1"/>
  <c r="D915" i="1"/>
  <c r="D882" i="1"/>
  <c r="D856" i="1"/>
  <c r="D823" i="1"/>
  <c r="D797" i="1"/>
  <c r="D771" i="1"/>
  <c r="D736" i="1"/>
  <c r="D446" i="1"/>
  <c r="D410" i="1"/>
  <c r="D128" i="1"/>
  <c r="D99" i="1"/>
  <c r="D62" i="1"/>
  <c r="D33" i="1"/>
  <c r="D15" i="1"/>
  <c r="D457" i="1"/>
  <c r="D918" i="1"/>
  <c r="D748" i="1"/>
  <c r="D151" i="1"/>
  <c r="D858" i="1"/>
  <c r="D747" i="1"/>
  <c r="D146" i="1"/>
  <c r="D857" i="1"/>
  <c r="D454" i="1"/>
  <c r="D63" i="1"/>
  <c r="D966" i="1"/>
  <c r="D940" i="1"/>
  <c r="D907" i="1"/>
  <c r="D881" i="1"/>
  <c r="D855" i="1"/>
  <c r="D822" i="1"/>
  <c r="D796" i="1"/>
  <c r="D763" i="1"/>
  <c r="D735" i="1"/>
  <c r="D445" i="1"/>
  <c r="D409" i="1"/>
  <c r="D178" i="1"/>
  <c r="D127" i="1"/>
  <c r="D98" i="1"/>
  <c r="D61" i="1"/>
  <c r="D32" i="1"/>
  <c r="D14" i="1"/>
  <c r="D847" i="1"/>
  <c r="D795" i="1"/>
  <c r="D762" i="1"/>
  <c r="D444" i="1"/>
  <c r="D177" i="1"/>
  <c r="D126" i="1"/>
  <c r="D60" i="1"/>
  <c r="D31" i="1"/>
  <c r="D96" i="1"/>
  <c r="D30" i="1"/>
  <c r="D904" i="1"/>
  <c r="D871" i="1"/>
  <c r="D786" i="1"/>
  <c r="D666" i="1"/>
  <c r="D389" i="1"/>
  <c r="D58" i="1"/>
  <c r="D955" i="1"/>
  <c r="D870" i="1"/>
  <c r="D811" i="1"/>
  <c r="D759" i="1"/>
  <c r="D424" i="1"/>
  <c r="D77" i="1"/>
  <c r="D954" i="1"/>
  <c r="D869" i="1"/>
  <c r="D810" i="1"/>
  <c r="D751" i="1"/>
  <c r="D239" i="1"/>
  <c r="D154" i="1"/>
  <c r="D50" i="1"/>
  <c r="D927" i="1"/>
  <c r="D835" i="1"/>
  <c r="D750" i="1"/>
  <c r="D458" i="1"/>
  <c r="D153" i="1"/>
  <c r="D75" i="1"/>
  <c r="D952" i="1"/>
  <c r="D867" i="1"/>
  <c r="D834" i="1"/>
  <c r="D749" i="1"/>
  <c r="D421" i="1"/>
  <c r="D152" i="1"/>
  <c r="D48" i="1"/>
  <c r="D892" i="1"/>
  <c r="D807" i="1"/>
  <c r="D466" i="1"/>
  <c r="D111" i="1"/>
  <c r="D917" i="1"/>
  <c r="D773" i="1"/>
  <c r="D455" i="1"/>
  <c r="D110" i="1"/>
  <c r="D916" i="1"/>
  <c r="D798" i="1"/>
  <c r="D772" i="1"/>
  <c r="D129" i="1"/>
  <c r="D34" i="1"/>
  <c r="D965" i="1"/>
  <c r="D939" i="1"/>
  <c r="D906" i="1"/>
  <c r="D880" i="1"/>
  <c r="D821" i="1"/>
  <c r="D734" i="1"/>
  <c r="D408" i="1"/>
  <c r="D97" i="1"/>
  <c r="D963" i="1"/>
  <c r="D819" i="1"/>
  <c r="D95" i="1"/>
  <c r="D929" i="1"/>
  <c r="D785" i="1"/>
  <c r="D115" i="1"/>
  <c r="D895" i="1"/>
  <c r="D784" i="1"/>
  <c r="D76" i="1"/>
  <c r="D894" i="1"/>
  <c r="D783" i="1"/>
  <c r="D201" i="1"/>
  <c r="D49" i="1"/>
  <c r="D919" i="1"/>
  <c r="D775" i="1"/>
  <c r="D112" i="1"/>
  <c r="D951" i="1"/>
  <c r="D833" i="1"/>
  <c r="D420" i="1"/>
  <c r="D943" i="1"/>
  <c r="D799" i="1"/>
  <c r="D412" i="1"/>
  <c r="D46" i="1"/>
  <c r="D883" i="1"/>
  <c r="D182" i="1"/>
  <c r="D16" i="1"/>
  <c r="D964" i="1"/>
  <c r="D931" i="1"/>
  <c r="D905" i="1"/>
  <c r="D879" i="1"/>
  <c r="D846" i="1"/>
  <c r="D820" i="1"/>
  <c r="D787" i="1"/>
  <c r="D761" i="1"/>
  <c r="D733" i="1"/>
  <c r="D443" i="1"/>
  <c r="D390" i="1"/>
  <c r="D176" i="1"/>
  <c r="D125" i="1"/>
  <c r="D59" i="1"/>
  <c r="D930" i="1"/>
  <c r="D845" i="1"/>
  <c r="D760" i="1"/>
  <c r="D442" i="1"/>
  <c r="D175" i="1"/>
  <c r="D124" i="1"/>
  <c r="D29" i="1"/>
  <c r="D903" i="1"/>
  <c r="D844" i="1"/>
  <c r="D665" i="1"/>
  <c r="D240" i="1"/>
  <c r="D172" i="1"/>
  <c r="D51" i="1"/>
  <c r="D928" i="1"/>
  <c r="D843" i="1"/>
  <c r="D664" i="1"/>
  <c r="D423" i="1"/>
  <c r="D114" i="1"/>
  <c r="D953" i="1"/>
  <c r="D868" i="1"/>
  <c r="D809" i="1"/>
  <c r="D663" i="1"/>
  <c r="D422" i="1"/>
  <c r="D113" i="1"/>
  <c r="D893" i="1"/>
  <c r="D808" i="1"/>
  <c r="D662" i="1"/>
  <c r="D185" i="1"/>
  <c r="D74" i="1"/>
  <c r="D859" i="1"/>
  <c r="D774" i="1"/>
  <c r="D456" i="1"/>
  <c r="D184" i="1"/>
  <c r="D73" i="1"/>
  <c r="D47" i="1"/>
  <c r="D891" i="1"/>
  <c r="D832" i="1"/>
  <c r="D183" i="1"/>
  <c r="D72" i="1"/>
  <c r="D942" i="1"/>
  <c r="D831" i="1"/>
  <c r="D737" i="1"/>
  <c r="D411" i="1"/>
  <c r="D100" i="1"/>
  <c r="F847" i="1"/>
  <c r="F638" i="1"/>
  <c r="F595" i="1"/>
  <c r="F550" i="1"/>
  <c r="F506" i="1"/>
  <c r="F482" i="1"/>
  <c r="F436" i="1"/>
  <c r="F362" i="1"/>
  <c r="F329" i="1"/>
  <c r="F300" i="1"/>
  <c r="F262" i="1"/>
  <c r="F214" i="1"/>
  <c r="F41" i="1"/>
  <c r="F394" i="1"/>
  <c r="F255" i="1"/>
  <c r="F537" i="1"/>
  <c r="F352" i="1"/>
  <c r="F204" i="1"/>
  <c r="F582" i="1"/>
  <c r="F319" i="1"/>
  <c r="F374" i="1"/>
  <c r="F196" i="1"/>
  <c r="F574" i="1"/>
  <c r="F248" i="1"/>
  <c r="F524" i="1"/>
  <c r="F192" i="1"/>
  <c r="F368" i="1"/>
  <c r="F242" i="1"/>
  <c r="F556" i="1"/>
  <c r="F470" i="1"/>
  <c r="F225" i="1"/>
  <c r="F553" i="1"/>
  <c r="F468" i="1"/>
  <c r="F216" i="1"/>
  <c r="F832" i="1"/>
  <c r="F635" i="1"/>
  <c r="F593" i="1"/>
  <c r="F548" i="1"/>
  <c r="F503" i="1"/>
  <c r="F480" i="1"/>
  <c r="F401" i="1"/>
  <c r="F359" i="1"/>
  <c r="F327" i="1"/>
  <c r="F298" i="1"/>
  <c r="F259" i="1"/>
  <c r="F211" i="1"/>
  <c r="F40" i="1"/>
  <c r="F722" i="1"/>
  <c r="F589" i="1"/>
  <c r="F354" i="1"/>
  <c r="F207" i="1"/>
  <c r="F720" i="1"/>
  <c r="F586" i="1"/>
  <c r="F383" i="1"/>
  <c r="F290" i="1"/>
  <c r="F253" i="1"/>
  <c r="F716" i="1"/>
  <c r="F532" i="1"/>
  <c r="F349" i="1"/>
  <c r="F251" i="1"/>
  <c r="F198" i="1"/>
  <c r="F12" i="1"/>
  <c r="F580" i="1"/>
  <c r="F530" i="1"/>
  <c r="F317" i="1"/>
  <c r="F286" i="1"/>
  <c r="F527" i="1"/>
  <c r="F372" i="1"/>
  <c r="F315" i="1"/>
  <c r="F194" i="1"/>
  <c r="F605" i="1"/>
  <c r="F370" i="1"/>
  <c r="F309" i="1"/>
  <c r="F244" i="1"/>
  <c r="F601" i="1"/>
  <c r="F513" i="1"/>
  <c r="F339" i="1"/>
  <c r="F271" i="1"/>
  <c r="F644" i="1"/>
  <c r="F511" i="1"/>
  <c r="F366" i="1"/>
  <c r="F305" i="1"/>
  <c r="F269" i="1"/>
  <c r="F641" i="1"/>
  <c r="F508" i="1"/>
  <c r="F364" i="1"/>
  <c r="F303" i="1"/>
  <c r="F159" i="1"/>
  <c r="F724" i="1"/>
  <c r="F633" i="1"/>
  <c r="F591" i="1"/>
  <c r="F544" i="1"/>
  <c r="F501" i="1"/>
  <c r="F478" i="1"/>
  <c r="F396" i="1"/>
  <c r="F357" i="1"/>
  <c r="F325" i="1"/>
  <c r="F296" i="1"/>
  <c r="F257" i="1"/>
  <c r="F209" i="1"/>
  <c r="F26" i="1"/>
  <c r="F631" i="1"/>
  <c r="F541" i="1"/>
  <c r="F498" i="1"/>
  <c r="F323" i="1"/>
  <c r="F292" i="1"/>
  <c r="F628" i="1"/>
  <c r="F492" i="1"/>
  <c r="F321" i="1"/>
  <c r="F13" i="1"/>
  <c r="F626" i="1"/>
  <c r="F380" i="1"/>
  <c r="F288" i="1"/>
  <c r="F621" i="1"/>
  <c r="F346" i="1"/>
  <c r="F250" i="1"/>
  <c r="F619" i="1"/>
  <c r="F343" i="1"/>
  <c r="F281" i="1"/>
  <c r="F572" i="1"/>
  <c r="F340" i="1"/>
  <c r="F275" i="1"/>
  <c r="F678" i="1"/>
  <c r="F566" i="1"/>
  <c r="F307" i="1"/>
  <c r="F165" i="1"/>
  <c r="F599" i="1"/>
  <c r="F337" i="1"/>
  <c r="F163" i="1"/>
  <c r="F597" i="1"/>
  <c r="F331" i="1"/>
  <c r="F265" i="1"/>
  <c r="F974" i="1"/>
  <c r="F948" i="1"/>
  <c r="F920" i="1"/>
  <c r="F895" i="1"/>
  <c r="F871" i="1"/>
  <c r="F837" i="1"/>
  <c r="F810" i="1"/>
  <c r="F785" i="1"/>
  <c r="F761" i="1"/>
  <c r="F737" i="1"/>
  <c r="F467" i="1"/>
  <c r="F463" i="1"/>
  <c r="F429" i="1"/>
  <c r="F407" i="1"/>
  <c r="F150" i="1"/>
  <c r="F126" i="1"/>
  <c r="F101" i="1"/>
  <c r="F78" i="1"/>
  <c r="F58" i="1"/>
  <c r="F29" i="1"/>
  <c r="F779" i="1"/>
  <c r="F457" i="1"/>
  <c r="F144" i="1"/>
  <c r="F52" i="1"/>
  <c r="F966" i="1"/>
  <c r="F859" i="1"/>
  <c r="F753" i="1"/>
  <c r="F455" i="1"/>
  <c r="F176" i="1"/>
  <c r="F93" i="1"/>
  <c r="F909" i="1"/>
  <c r="F775" i="1"/>
  <c r="F191" i="1"/>
  <c r="F91" i="1"/>
  <c r="F907" i="1"/>
  <c r="F798" i="1"/>
  <c r="F666" i="1"/>
  <c r="F138" i="1"/>
  <c r="F67" i="1"/>
  <c r="F905" i="1"/>
  <c r="F795" i="1"/>
  <c r="F664" i="1"/>
  <c r="F415" i="1"/>
  <c r="F114" i="1"/>
  <c r="F931" i="1"/>
  <c r="F850" i="1"/>
  <c r="F745" i="1"/>
  <c r="F447" i="1"/>
  <c r="F162" i="1"/>
  <c r="F37" i="1"/>
  <c r="F928" i="1"/>
  <c r="F816" i="1"/>
  <c r="F743" i="1"/>
  <c r="F412" i="1"/>
  <c r="F156" i="1"/>
  <c r="F110" i="1"/>
  <c r="F62" i="1"/>
  <c r="F952" i="1"/>
  <c r="F899" i="1"/>
  <c r="F843" i="1"/>
  <c r="F789" i="1"/>
  <c r="F741" i="1"/>
  <c r="F410" i="1"/>
  <c r="F154" i="1"/>
  <c r="F105" i="1"/>
  <c r="F61" i="1"/>
  <c r="F950" i="1"/>
  <c r="F897" i="1"/>
  <c r="F840" i="1"/>
  <c r="F787" i="1"/>
  <c r="F739" i="1"/>
  <c r="F465" i="1"/>
  <c r="F409" i="1"/>
  <c r="F152" i="1"/>
  <c r="F103" i="1"/>
  <c r="F60" i="1"/>
  <c r="F972" i="1"/>
  <c r="F946" i="1"/>
  <c r="F917" i="1"/>
  <c r="F893" i="1"/>
  <c r="F869" i="1"/>
  <c r="F835" i="1"/>
  <c r="F808" i="1"/>
  <c r="F783" i="1"/>
  <c r="F759" i="1"/>
  <c r="F735" i="1"/>
  <c r="F466" i="1"/>
  <c r="F461" i="1"/>
  <c r="F427" i="1"/>
  <c r="F405" i="1"/>
  <c r="F148" i="1"/>
  <c r="F124" i="1"/>
  <c r="F99" i="1"/>
  <c r="F76" i="1"/>
  <c r="F56" i="1"/>
  <c r="F828" i="1"/>
  <c r="F731" i="1"/>
  <c r="F240" i="1"/>
  <c r="F95" i="1"/>
  <c r="F911" i="1"/>
  <c r="F802" i="1"/>
  <c r="F201" i="1"/>
  <c r="F142" i="1"/>
  <c r="F50" i="1"/>
  <c r="F963" i="1"/>
  <c r="F857" i="1"/>
  <c r="F800" i="1"/>
  <c r="F751" i="1"/>
  <c r="F453" i="1"/>
  <c r="F140" i="1"/>
  <c r="F69" i="1"/>
  <c r="F960" i="1"/>
  <c r="F855" i="1"/>
  <c r="F749" i="1"/>
  <c r="F189" i="1"/>
  <c r="F89" i="1"/>
  <c r="F46" i="1"/>
  <c r="F958" i="1"/>
  <c r="F853" i="1"/>
  <c r="F771" i="1"/>
  <c r="F449" i="1"/>
  <c r="F136" i="1"/>
  <c r="F65" i="1"/>
  <c r="F903" i="1"/>
  <c r="F793" i="1"/>
  <c r="F663" i="1"/>
  <c r="F185" i="1"/>
  <c r="F112" i="1"/>
  <c r="F63" i="1"/>
  <c r="F901" i="1"/>
  <c r="F791" i="1"/>
  <c r="F661" i="1"/>
  <c r="F445" i="1"/>
  <c r="F183" i="1"/>
  <c r="F132" i="1"/>
  <c r="F83" i="1"/>
  <c r="F35" i="1"/>
  <c r="F17" i="1"/>
  <c r="F926" i="1"/>
  <c r="F875" i="1"/>
  <c r="F814" i="1"/>
  <c r="F765" i="1"/>
  <c r="F654" i="1"/>
  <c r="F443" i="1"/>
  <c r="F130" i="1"/>
  <c r="F82" i="1"/>
  <c r="F33" i="1"/>
  <c r="F15" i="1"/>
  <c r="F923" i="1"/>
  <c r="F873" i="1"/>
  <c r="F812" i="1"/>
  <c r="F763" i="1"/>
  <c r="F611" i="1"/>
  <c r="F431" i="1"/>
  <c r="F128" i="1"/>
  <c r="F80" i="1"/>
  <c r="F31" i="1"/>
  <c r="F970" i="1"/>
  <c r="F944" i="1"/>
  <c r="F915" i="1"/>
  <c r="F891" i="1"/>
  <c r="F863" i="1"/>
  <c r="F831" i="1"/>
  <c r="F806" i="1"/>
  <c r="F781" i="1"/>
  <c r="F757" i="1"/>
  <c r="F733" i="1"/>
  <c r="F459" i="1"/>
  <c r="F425" i="1"/>
  <c r="F403" i="1"/>
  <c r="F181" i="1"/>
  <c r="F146" i="1"/>
  <c r="F122" i="1"/>
  <c r="F97" i="1"/>
  <c r="F74" i="1"/>
  <c r="F54" i="1"/>
  <c r="F968" i="1"/>
  <c r="F942" i="1"/>
  <c r="F913" i="1"/>
  <c r="F889" i="1"/>
  <c r="F861" i="1"/>
  <c r="F804" i="1"/>
  <c r="F755" i="1"/>
  <c r="F423" i="1"/>
  <c r="F178" i="1"/>
  <c r="F120" i="1"/>
  <c r="F73" i="1"/>
  <c r="F940" i="1"/>
  <c r="F887" i="1"/>
  <c r="F826" i="1"/>
  <c r="F777" i="1"/>
  <c r="F729" i="1"/>
  <c r="F421" i="1"/>
  <c r="F118" i="1"/>
  <c r="F71" i="1"/>
  <c r="F938" i="1"/>
  <c r="F885" i="1"/>
  <c r="F824" i="1"/>
  <c r="F727" i="1"/>
  <c r="F419" i="1"/>
  <c r="F174" i="1"/>
  <c r="F116" i="1"/>
  <c r="F48" i="1"/>
  <c r="F936" i="1"/>
  <c r="F883" i="1"/>
  <c r="F822" i="1"/>
  <c r="F773" i="1"/>
  <c r="F451" i="1"/>
  <c r="F417" i="1"/>
  <c r="F172" i="1"/>
  <c r="F115" i="1"/>
  <c r="F933" i="1"/>
  <c r="F881" i="1"/>
  <c r="F820" i="1"/>
  <c r="F747" i="1"/>
  <c r="F187" i="1"/>
  <c r="F170" i="1"/>
  <c r="F87" i="1"/>
  <c r="F39" i="1"/>
  <c r="F956" i="1"/>
  <c r="F879" i="1"/>
  <c r="F818" i="1"/>
  <c r="F769" i="1"/>
  <c r="F413" i="1"/>
  <c r="F134" i="1"/>
  <c r="F85" i="1"/>
  <c r="F954" i="1"/>
  <c r="F877" i="1"/>
  <c r="F846" i="1"/>
  <c r="F767" i="1"/>
  <c r="F973" i="1"/>
  <c r="F947" i="1"/>
  <c r="F919" i="1"/>
  <c r="F894" i="1"/>
  <c r="F870" i="1"/>
  <c r="F842" i="1"/>
  <c r="F813" i="1"/>
  <c r="F788" i="1"/>
  <c r="F764" i="1"/>
  <c r="F740" i="1"/>
  <c r="F610" i="1"/>
  <c r="F456" i="1"/>
  <c r="F422" i="1"/>
  <c r="F190" i="1"/>
  <c r="F173" i="1"/>
  <c r="F139" i="1"/>
  <c r="F113" i="1"/>
  <c r="F86" i="1"/>
  <c r="F57" i="1"/>
  <c r="F28" i="1"/>
  <c r="F55" i="1"/>
  <c r="F418" i="1"/>
  <c r="F135" i="1"/>
  <c r="F81" i="1"/>
  <c r="F53" i="1"/>
  <c r="F133" i="1"/>
  <c r="F155" i="1"/>
  <c r="F49" i="1"/>
  <c r="F937" i="1"/>
  <c r="F754" i="1"/>
  <c r="F411" i="1"/>
  <c r="F129" i="1"/>
  <c r="F858" i="1"/>
  <c r="F932" i="1"/>
  <c r="F799" i="1"/>
  <c r="F726" i="1"/>
  <c r="F149" i="1"/>
  <c r="F96" i="1"/>
  <c r="F854" i="1"/>
  <c r="F748" i="1"/>
  <c r="F404" i="1"/>
  <c r="F94" i="1"/>
  <c r="F16" i="1"/>
  <c r="F900" i="1"/>
  <c r="F794" i="1"/>
  <c r="F662" i="1"/>
  <c r="F180" i="1"/>
  <c r="F66" i="1"/>
  <c r="F951" i="1"/>
  <c r="F849" i="1"/>
  <c r="F768" i="1"/>
  <c r="F426" i="1"/>
  <c r="F143" i="1"/>
  <c r="F90" i="1"/>
  <c r="F872" i="1"/>
  <c r="F790" i="1"/>
  <c r="F653" i="1"/>
  <c r="F175" i="1"/>
  <c r="F88" i="1"/>
  <c r="F971" i="1"/>
  <c r="F945" i="1"/>
  <c r="F916" i="1"/>
  <c r="F892" i="1"/>
  <c r="F868" i="1"/>
  <c r="F839" i="1"/>
  <c r="F811" i="1"/>
  <c r="F786" i="1"/>
  <c r="F762" i="1"/>
  <c r="F738" i="1"/>
  <c r="F454" i="1"/>
  <c r="F420" i="1"/>
  <c r="F188" i="1"/>
  <c r="F171" i="1"/>
  <c r="F137" i="1"/>
  <c r="F111" i="1"/>
  <c r="F84" i="1"/>
  <c r="F452" i="1"/>
  <c r="F186" i="1"/>
  <c r="F169" i="1"/>
  <c r="F104" i="1"/>
  <c r="F51" i="1"/>
  <c r="F182" i="1"/>
  <c r="F131" i="1"/>
  <c r="F908" i="1"/>
  <c r="F884" i="1"/>
  <c r="F778" i="1"/>
  <c r="F446" i="1"/>
  <c r="F100" i="1"/>
  <c r="F906" i="1"/>
  <c r="F728" i="1"/>
  <c r="F151" i="1"/>
  <c r="F72" i="1"/>
  <c r="F957" i="1"/>
  <c r="F823" i="1"/>
  <c r="F38" i="1"/>
  <c r="F902" i="1"/>
  <c r="F969" i="1"/>
  <c r="F943" i="1"/>
  <c r="F914" i="1"/>
  <c r="F890" i="1"/>
  <c r="F867" i="1"/>
  <c r="F836" i="1"/>
  <c r="F809" i="1"/>
  <c r="F784" i="1"/>
  <c r="F760" i="1"/>
  <c r="F736" i="1"/>
  <c r="F109" i="1"/>
  <c r="F860" i="1"/>
  <c r="F730" i="1"/>
  <c r="F935" i="1"/>
  <c r="F801" i="1"/>
  <c r="F444" i="1"/>
  <c r="F127" i="1"/>
  <c r="F45" i="1"/>
  <c r="F904" i="1"/>
  <c r="F774" i="1"/>
  <c r="F442" i="1"/>
  <c r="F125" i="1"/>
  <c r="F878" i="1"/>
  <c r="F772" i="1"/>
  <c r="F464" i="1"/>
  <c r="F147" i="1"/>
  <c r="F36" i="1"/>
  <c r="F927" i="1"/>
  <c r="F819" i="1"/>
  <c r="F428" i="1"/>
  <c r="F121" i="1"/>
  <c r="F898" i="1"/>
  <c r="F817" i="1"/>
  <c r="F744" i="1"/>
  <c r="F239" i="1"/>
  <c r="F32" i="1"/>
  <c r="F896" i="1"/>
  <c r="F815" i="1"/>
  <c r="F458" i="1"/>
  <c r="F117" i="1"/>
  <c r="F30" i="1"/>
  <c r="F967" i="1"/>
  <c r="F941" i="1"/>
  <c r="F912" i="1"/>
  <c r="F888" i="1"/>
  <c r="F865" i="1"/>
  <c r="F834" i="1"/>
  <c r="F807" i="1"/>
  <c r="F782" i="1"/>
  <c r="F758" i="1"/>
  <c r="F734" i="1"/>
  <c r="F450" i="1"/>
  <c r="F416" i="1"/>
  <c r="F184" i="1"/>
  <c r="F161" i="1"/>
  <c r="F79" i="1"/>
  <c r="F77" i="1"/>
  <c r="F803" i="1"/>
  <c r="F75" i="1"/>
  <c r="F959" i="1"/>
  <c r="F825" i="1"/>
  <c r="F752" i="1"/>
  <c r="F856" i="1"/>
  <c r="F70" i="1"/>
  <c r="F930" i="1"/>
  <c r="F797" i="1"/>
  <c r="F430" i="1"/>
  <c r="F123" i="1"/>
  <c r="F876" i="1"/>
  <c r="F770" i="1"/>
  <c r="F462" i="1"/>
  <c r="F145" i="1"/>
  <c r="F34" i="1"/>
  <c r="F925" i="1"/>
  <c r="F792" i="1"/>
  <c r="F460" i="1"/>
  <c r="F119" i="1"/>
  <c r="F949" i="1"/>
  <c r="F845" i="1"/>
  <c r="F742" i="1"/>
  <c r="F424" i="1"/>
  <c r="F141" i="1"/>
  <c r="F965" i="1"/>
  <c r="F939" i="1"/>
  <c r="F910" i="1"/>
  <c r="F886" i="1"/>
  <c r="F862" i="1"/>
  <c r="F830" i="1"/>
  <c r="F805" i="1"/>
  <c r="F780" i="1"/>
  <c r="F756" i="1"/>
  <c r="F732" i="1"/>
  <c r="F448" i="1"/>
  <c r="F414" i="1"/>
  <c r="F102" i="1"/>
  <c r="F962" i="1"/>
  <c r="F827" i="1"/>
  <c r="F153" i="1"/>
  <c r="F47" i="1"/>
  <c r="F882" i="1"/>
  <c r="F776" i="1"/>
  <c r="F408" i="1"/>
  <c r="F98" i="1"/>
  <c r="F880" i="1"/>
  <c r="F750" i="1"/>
  <c r="F406" i="1"/>
  <c r="F955" i="1"/>
  <c r="F821" i="1"/>
  <c r="F665" i="1"/>
  <c r="F68" i="1"/>
  <c r="F953" i="1"/>
  <c r="F852" i="1"/>
  <c r="F746" i="1"/>
  <c r="F402" i="1"/>
  <c r="F92" i="1"/>
  <c r="F14" i="1"/>
  <c r="F874" i="1"/>
  <c r="F660" i="1"/>
  <c r="F177" i="1"/>
  <c r="F64" i="1"/>
  <c r="F922" i="1"/>
  <c r="F766" i="1"/>
  <c r="F200" i="1"/>
  <c r="F59" i="1"/>
  <c r="F964" i="1"/>
  <c r="F841" i="1"/>
  <c r="F714" i="1"/>
  <c r="F702" i="1"/>
  <c r="F687" i="1"/>
  <c r="F674" i="1"/>
  <c r="F655" i="1"/>
  <c r="F642" i="1"/>
  <c r="F623" i="1"/>
  <c r="F607" i="1"/>
  <c r="F587" i="1"/>
  <c r="F570" i="1"/>
  <c r="F557" i="1"/>
  <c r="F539" i="1"/>
  <c r="F526" i="1"/>
  <c r="F512" i="1"/>
  <c r="F494" i="1"/>
  <c r="F440" i="1"/>
  <c r="F398" i="1"/>
  <c r="F384" i="1"/>
  <c r="F365" i="1"/>
  <c r="F345" i="1"/>
  <c r="F326" i="1"/>
  <c r="F306" i="1"/>
  <c r="F285" i="1"/>
  <c r="F270" i="1"/>
  <c r="F249" i="1"/>
  <c r="F232" i="1"/>
  <c r="F219" i="1"/>
  <c r="F208" i="1"/>
  <c r="F166" i="1"/>
  <c r="F44" i="1"/>
  <c r="F11" i="1"/>
  <c r="F618" i="1"/>
  <c r="F567" i="1"/>
  <c r="F522" i="1"/>
  <c r="F437" i="1"/>
  <c r="F360" i="1"/>
  <c r="F301" i="1"/>
  <c r="F245" i="1"/>
  <c r="F203" i="1"/>
  <c r="F8" i="1"/>
  <c r="F710" i="1"/>
  <c r="F683" i="1"/>
  <c r="F649" i="1"/>
  <c r="F602" i="1"/>
  <c r="F551" i="1"/>
  <c r="F505" i="1"/>
  <c r="F475" i="1"/>
  <c r="F378" i="1"/>
  <c r="F318" i="1"/>
  <c r="F243" i="1"/>
  <c r="F158" i="1"/>
  <c r="F921" i="1"/>
  <c r="F697" i="1"/>
  <c r="F669" i="1"/>
  <c r="F616" i="1"/>
  <c r="F564" i="1"/>
  <c r="F520" i="1"/>
  <c r="F391" i="1"/>
  <c r="F336" i="1"/>
  <c r="F279" i="1"/>
  <c r="F227" i="1"/>
  <c r="F157" i="1"/>
  <c r="F6" i="1"/>
  <c r="F723" i="1"/>
  <c r="F693" i="1"/>
  <c r="F647" i="1"/>
  <c r="F598" i="1"/>
  <c r="F547" i="1"/>
  <c r="F502" i="1"/>
  <c r="F433" i="1"/>
  <c r="F355" i="1"/>
  <c r="F295" i="1"/>
  <c r="F238" i="1"/>
  <c r="F197" i="1"/>
  <c r="F5" i="1"/>
  <c r="F707" i="1"/>
  <c r="F680" i="1"/>
  <c r="F630" i="1"/>
  <c r="F577" i="1"/>
  <c r="F961" i="1"/>
  <c r="F838" i="1"/>
  <c r="F713" i="1"/>
  <c r="F701" i="1"/>
  <c r="F686" i="1"/>
  <c r="F673" i="1"/>
  <c r="F652" i="1"/>
  <c r="F640" i="1"/>
  <c r="F622" i="1"/>
  <c r="F606" i="1"/>
  <c r="F585" i="1"/>
  <c r="F569" i="1"/>
  <c r="F555" i="1"/>
  <c r="F538" i="1"/>
  <c r="F525" i="1"/>
  <c r="F510" i="1"/>
  <c r="F493" i="1"/>
  <c r="F439" i="1"/>
  <c r="F397" i="1"/>
  <c r="F382" i="1"/>
  <c r="F363" i="1"/>
  <c r="F344" i="1"/>
  <c r="F324" i="1"/>
  <c r="F304" i="1"/>
  <c r="F284" i="1"/>
  <c r="F268" i="1"/>
  <c r="F247" i="1"/>
  <c r="F231" i="1"/>
  <c r="F218" i="1"/>
  <c r="F206" i="1"/>
  <c r="F164" i="1"/>
  <c r="F43" i="1"/>
  <c r="F10" i="1"/>
  <c r="F829" i="1"/>
  <c r="F684" i="1"/>
  <c r="F650" i="1"/>
  <c r="F603" i="1"/>
  <c r="F552" i="1"/>
  <c r="F507" i="1"/>
  <c r="F393" i="1"/>
  <c r="F341" i="1"/>
  <c r="F282" i="1"/>
  <c r="F229" i="1"/>
  <c r="F160" i="1"/>
  <c r="F924" i="1"/>
  <c r="F698" i="1"/>
  <c r="F670" i="1"/>
  <c r="F617" i="1"/>
  <c r="F565" i="1"/>
  <c r="F521" i="1"/>
  <c r="F392" i="1"/>
  <c r="F338" i="1"/>
  <c r="F280" i="1"/>
  <c r="F228" i="1"/>
  <c r="F202" i="1"/>
  <c r="F7" i="1"/>
  <c r="F709" i="1"/>
  <c r="F682" i="1"/>
  <c r="F634" i="1"/>
  <c r="F579" i="1"/>
  <c r="F533" i="1"/>
  <c r="F488" i="1"/>
  <c r="F434" i="1"/>
  <c r="F356" i="1"/>
  <c r="F297" i="1"/>
  <c r="F241" i="1"/>
  <c r="F199" i="1"/>
  <c r="F708" i="1"/>
  <c r="F681" i="1"/>
  <c r="F632" i="1"/>
  <c r="F578" i="1"/>
  <c r="F487" i="1"/>
  <c r="F484" i="1"/>
  <c r="F473" i="1"/>
  <c r="F376" i="1"/>
  <c r="F314" i="1"/>
  <c r="F261" i="1"/>
  <c r="F23" i="1"/>
  <c r="F721" i="1"/>
  <c r="F692" i="1"/>
  <c r="F646" i="1"/>
  <c r="F596" i="1"/>
  <c r="F546" i="1"/>
  <c r="F500" i="1"/>
  <c r="F472" i="1"/>
  <c r="F389" i="1"/>
  <c r="F353" i="1"/>
  <c r="F313" i="1"/>
  <c r="F277" i="1"/>
  <c r="F237" i="1"/>
  <c r="F217" i="1"/>
  <c r="F4" i="1"/>
  <c r="F864" i="1"/>
  <c r="F706" i="1"/>
  <c r="F691" i="1"/>
  <c r="F659" i="1"/>
  <c r="F629" i="1"/>
  <c r="F613" i="1"/>
  <c r="F576" i="1"/>
  <c r="F545" i="1"/>
  <c r="F517" i="1"/>
  <c r="F471" i="1"/>
  <c r="F388" i="1"/>
  <c r="F373" i="1"/>
  <c r="F333" i="1"/>
  <c r="F293" i="1"/>
  <c r="F258" i="1"/>
  <c r="F223" i="1"/>
  <c r="F934" i="1"/>
  <c r="F833" i="1"/>
  <c r="F712" i="1"/>
  <c r="F700" i="1"/>
  <c r="F685" i="1"/>
  <c r="F672" i="1"/>
  <c r="F651" i="1"/>
  <c r="F639" i="1"/>
  <c r="F620" i="1"/>
  <c r="F604" i="1"/>
  <c r="F584" i="1"/>
  <c r="F568" i="1"/>
  <c r="F554" i="1"/>
  <c r="F536" i="1"/>
  <c r="F523" i="1"/>
  <c r="F509" i="1"/>
  <c r="F491" i="1"/>
  <c r="F438" i="1"/>
  <c r="F395" i="1"/>
  <c r="F381" i="1"/>
  <c r="F361" i="1"/>
  <c r="F342" i="1"/>
  <c r="F322" i="1"/>
  <c r="F302" i="1"/>
  <c r="F283" i="1"/>
  <c r="F267" i="1"/>
  <c r="F246" i="1"/>
  <c r="F230" i="1"/>
  <c r="F205" i="1"/>
  <c r="F42" i="1"/>
  <c r="F9" i="1"/>
  <c r="F929" i="1"/>
  <c r="F711" i="1"/>
  <c r="F699" i="1"/>
  <c r="F671" i="1"/>
  <c r="F637" i="1"/>
  <c r="F583" i="1"/>
  <c r="F535" i="1"/>
  <c r="F490" i="1"/>
  <c r="F379" i="1"/>
  <c r="F320" i="1"/>
  <c r="F266" i="1"/>
  <c r="F27" i="1"/>
  <c r="F796" i="1"/>
  <c r="F636" i="1"/>
  <c r="F581" i="1"/>
  <c r="F534" i="1"/>
  <c r="F489" i="1"/>
  <c r="F435" i="1"/>
  <c r="F358" i="1"/>
  <c r="F299" i="1"/>
  <c r="F264" i="1"/>
  <c r="F25" i="1"/>
  <c r="F725" i="1"/>
  <c r="F648" i="1"/>
  <c r="F600" i="1"/>
  <c r="F549" i="1"/>
  <c r="F504" i="1"/>
  <c r="F485" i="1"/>
  <c r="F474" i="1"/>
  <c r="F377" i="1"/>
  <c r="F316" i="1"/>
  <c r="F263" i="1"/>
  <c r="F24" i="1"/>
  <c r="F918" i="1"/>
  <c r="F696" i="1"/>
  <c r="F668" i="1"/>
  <c r="F615" i="1"/>
  <c r="F563" i="1"/>
  <c r="F519" i="1"/>
  <c r="F390" i="1"/>
  <c r="F335" i="1"/>
  <c r="F278" i="1"/>
  <c r="F226" i="1"/>
  <c r="F866" i="1"/>
  <c r="F695" i="1"/>
  <c r="F667" i="1"/>
  <c r="F614" i="1"/>
  <c r="F562" i="1"/>
  <c r="F518" i="1"/>
  <c r="F483" i="1"/>
  <c r="F432" i="1"/>
  <c r="F375" i="1"/>
  <c r="F334" i="1"/>
  <c r="F294" i="1"/>
  <c r="F260" i="1"/>
  <c r="F224" i="1"/>
  <c r="F195" i="1"/>
  <c r="F22" i="1"/>
  <c r="F719" i="1"/>
  <c r="F694" i="1"/>
  <c r="F679" i="1"/>
  <c r="F594" i="1"/>
  <c r="F561" i="1"/>
  <c r="F499" i="1"/>
  <c r="F481" i="1"/>
  <c r="F351" i="1"/>
  <c r="F312" i="1"/>
  <c r="F276" i="1"/>
  <c r="F236" i="1"/>
  <c r="F215" i="1"/>
  <c r="F851" i="1"/>
  <c r="F690" i="1"/>
  <c r="F627" i="1"/>
  <c r="F560" i="1"/>
  <c r="F497" i="1"/>
  <c r="F476" i="1"/>
  <c r="F399" i="1"/>
  <c r="F328" i="1"/>
  <c r="F252" i="1"/>
  <c r="F168" i="1"/>
  <c r="F387" i="1"/>
  <c r="F235" i="1"/>
  <c r="F677" i="1"/>
  <c r="F543" i="1"/>
  <c r="F385" i="1"/>
  <c r="F676" i="1"/>
  <c r="F291" i="1"/>
  <c r="F107" i="1"/>
  <c r="F608" i="1"/>
  <c r="F221" i="1"/>
  <c r="F658" i="1"/>
  <c r="F220" i="1"/>
  <c r="F657" i="1"/>
  <c r="F350" i="1"/>
  <c r="F703" i="1"/>
  <c r="F528" i="1"/>
  <c r="F348" i="1"/>
  <c r="F19" i="1"/>
  <c r="F575" i="1"/>
  <c r="F441" i="1"/>
  <c r="F210" i="1"/>
  <c r="F645" i="1"/>
  <c r="F193" i="1"/>
  <c r="F514" i="1"/>
  <c r="F330" i="1"/>
  <c r="F2" i="1"/>
  <c r="F848" i="1"/>
  <c r="F689" i="1"/>
  <c r="F625" i="1"/>
  <c r="F559" i="1"/>
  <c r="F496" i="1"/>
  <c r="F311" i="1"/>
  <c r="F167" i="1"/>
  <c r="F612" i="1"/>
  <c r="F308" i="1"/>
  <c r="F108" i="1"/>
  <c r="F609" i="1"/>
  <c r="F222" i="1"/>
  <c r="F675" i="1"/>
  <c r="F289" i="1"/>
  <c r="F705" i="1"/>
  <c r="F531" i="1"/>
  <c r="F367" i="1"/>
  <c r="F21" i="1"/>
  <c r="F590" i="1"/>
  <c r="F469" i="1"/>
  <c r="F213" i="1"/>
  <c r="F656" i="1"/>
  <c r="F273" i="1"/>
  <c r="F516" i="1"/>
  <c r="F347" i="1"/>
  <c r="F18" i="1"/>
  <c r="F573" i="1"/>
  <c r="F479" i="1"/>
  <c r="F256" i="1"/>
  <c r="F643" i="1"/>
  <c r="F400" i="1"/>
  <c r="F179" i="1"/>
  <c r="F844" i="1"/>
  <c r="F688" i="1"/>
  <c r="F624" i="1"/>
  <c r="F558" i="1"/>
  <c r="F495" i="1"/>
  <c r="F386" i="1"/>
  <c r="F310" i="1"/>
  <c r="F234" i="1"/>
  <c r="F718" i="1"/>
  <c r="F486" i="1"/>
  <c r="F233" i="1"/>
  <c r="F717" i="1"/>
  <c r="F542" i="1"/>
  <c r="F371" i="1"/>
  <c r="F715" i="1"/>
  <c r="F540" i="1"/>
  <c r="F369" i="1"/>
  <c r="F106" i="1"/>
  <c r="F592" i="1"/>
  <c r="F287" i="1"/>
  <c r="F704" i="1"/>
  <c r="F529" i="1"/>
  <c r="F274" i="1"/>
  <c r="F20" i="1"/>
  <c r="F588" i="1"/>
  <c r="F212" i="1"/>
  <c r="F272" i="1"/>
  <c r="F515" i="1"/>
  <c r="F332" i="1"/>
  <c r="F3" i="1"/>
  <c r="F571" i="1"/>
  <c r="F477" i="1"/>
  <c r="F254" i="1"/>
  <c r="C725" i="1"/>
  <c r="C713" i="1"/>
  <c r="C721" i="1"/>
  <c r="C719" i="1"/>
  <c r="C717" i="1"/>
  <c r="C714" i="1"/>
  <c r="C724" i="1"/>
  <c r="C712" i="1"/>
  <c r="C711" i="1"/>
  <c r="C720" i="1"/>
  <c r="C718" i="1"/>
  <c r="C715" i="1"/>
  <c r="C723" i="1"/>
  <c r="C722" i="1"/>
  <c r="C716" i="1"/>
  <c r="E4" i="1"/>
  <c r="D88" i="1"/>
  <c r="D19" i="1"/>
  <c r="E7" i="1"/>
  <c r="D214" i="1"/>
  <c r="D245" i="1"/>
  <c r="E214" i="1"/>
  <c r="E245" i="1"/>
  <c r="E281" i="1"/>
  <c r="E317" i="1"/>
  <c r="E353" i="1"/>
  <c r="E389" i="1"/>
  <c r="E199" i="1"/>
  <c r="E242" i="1"/>
  <c r="E273" i="1"/>
  <c r="E165" i="1"/>
  <c r="D272" i="1"/>
  <c r="E313" i="1"/>
  <c r="D251" i="1"/>
  <c r="D303" i="1"/>
  <c r="E338" i="1"/>
  <c r="E297" i="1"/>
  <c r="D23" i="1"/>
  <c r="D3" i="1"/>
  <c r="E41" i="1"/>
  <c r="E24" i="1"/>
  <c r="E250" i="1"/>
  <c r="D27" i="1"/>
  <c r="D107" i="1"/>
  <c r="E27" i="1"/>
  <c r="D167" i="1"/>
  <c r="E275" i="1"/>
  <c r="D204" i="1"/>
  <c r="D247" i="1"/>
  <c r="E218" i="1"/>
  <c r="E254" i="1"/>
  <c r="E340" i="1"/>
  <c r="E299" i="1"/>
  <c r="D398" i="1"/>
  <c r="E159" i="1"/>
  <c r="E224" i="1"/>
  <c r="D275" i="1"/>
  <c r="D359" i="1"/>
  <c r="D395" i="1"/>
  <c r="D475" i="1"/>
  <c r="E8" i="1"/>
  <c r="D43" i="1"/>
  <c r="D81" i="1"/>
  <c r="D92" i="1"/>
  <c r="D179" i="1"/>
  <c r="D207" i="1"/>
  <c r="D238" i="1"/>
  <c r="D274" i="1"/>
  <c r="D310" i="1"/>
  <c r="D346" i="1"/>
  <c r="D382" i="1"/>
  <c r="D9" i="1"/>
  <c r="D40" i="1"/>
  <c r="E158" i="1"/>
  <c r="E23" i="1"/>
  <c r="D206" i="1"/>
  <c r="D249" i="1"/>
  <c r="E277" i="1"/>
  <c r="E206" i="1"/>
  <c r="E249" i="1"/>
  <c r="D180" i="1"/>
  <c r="D229" i="1"/>
  <c r="D282" i="1"/>
  <c r="E342" i="1"/>
  <c r="E265" i="1"/>
  <c r="E301" i="1"/>
  <c r="D400" i="1"/>
  <c r="D227" i="1"/>
  <c r="D361" i="1"/>
  <c r="E396" i="1"/>
  <c r="D435" i="1"/>
  <c r="D479" i="1"/>
  <c r="D343" i="1"/>
  <c r="D253" i="1"/>
  <c r="D11" i="1"/>
  <c r="D6" i="1"/>
  <c r="D4" i="1"/>
  <c r="E212" i="1"/>
  <c r="E243" i="1"/>
  <c r="E279" i="1"/>
  <c r="E315" i="1"/>
  <c r="E351" i="1"/>
  <c r="E387" i="1"/>
  <c r="D119" i="1"/>
  <c r="D252" i="1"/>
  <c r="D288" i="1"/>
  <c r="D324" i="1"/>
  <c r="D360" i="1"/>
  <c r="D396" i="1"/>
  <c r="E40" i="1"/>
  <c r="E208" i="1"/>
  <c r="E251" i="1"/>
  <c r="E284" i="1"/>
  <c r="D338" i="1"/>
  <c r="D212" i="1"/>
  <c r="E344" i="1"/>
  <c r="D159" i="1"/>
  <c r="D270" i="1"/>
  <c r="E280" i="1"/>
  <c r="D363" i="1"/>
  <c r="E398" i="1"/>
  <c r="E440" i="1"/>
  <c r="E484" i="1"/>
  <c r="E11" i="1"/>
  <c r="D143" i="1"/>
  <c r="D221" i="1"/>
  <c r="D257" i="1"/>
  <c r="E221" i="1"/>
  <c r="E257" i="1"/>
  <c r="E293" i="1"/>
  <c r="E329" i="1"/>
  <c r="E365" i="1"/>
  <c r="E401" i="1"/>
  <c r="D18" i="1"/>
  <c r="D165" i="1"/>
  <c r="D340" i="1"/>
  <c r="D377" i="1"/>
  <c r="E272" i="1"/>
  <c r="D367" i="1"/>
  <c r="D89" i="1"/>
  <c r="E433" i="1"/>
  <c r="E477" i="1"/>
  <c r="D84" i="1"/>
  <c r="E400" i="1"/>
  <c r="D273" i="1"/>
  <c r="E18" i="1"/>
  <c r="D10" i="1"/>
  <c r="E327" i="1"/>
  <c r="E305" i="1"/>
  <c r="D213" i="1"/>
  <c r="E311" i="1"/>
  <c r="D299" i="1"/>
  <c r="D375" i="1"/>
  <c r="D365" i="1"/>
  <c r="D234" i="1"/>
  <c r="E21" i="1"/>
  <c r="D140" i="1"/>
  <c r="D22" i="1"/>
  <c r="D262" i="1"/>
  <c r="D394" i="1"/>
  <c r="E262" i="1"/>
  <c r="D372" i="1"/>
  <c r="E107" i="1"/>
  <c r="D269" i="1"/>
  <c r="E215" i="1"/>
  <c r="D148" i="1"/>
  <c r="D248" i="1"/>
  <c r="D342" i="1"/>
  <c r="D301" i="1"/>
  <c r="D293" i="1"/>
  <c r="E367" i="1"/>
  <c r="D246" i="1"/>
  <c r="E471" i="1"/>
  <c r="D205" i="1"/>
  <c r="D306" i="1"/>
  <c r="D374" i="1"/>
  <c r="E247" i="1"/>
  <c r="D433" i="1"/>
  <c r="E256" i="1"/>
  <c r="E356" i="1"/>
  <c r="E492" i="1"/>
  <c r="E528" i="1"/>
  <c r="E561" i="1"/>
  <c r="E597" i="1"/>
  <c r="E633" i="1"/>
  <c r="E667" i="1"/>
  <c r="E348" i="1"/>
  <c r="D518" i="1"/>
  <c r="E263" i="1"/>
  <c r="D345" i="1"/>
  <c r="E494" i="1"/>
  <c r="E501" i="1"/>
  <c r="E534" i="1"/>
  <c r="E570" i="1"/>
  <c r="E606" i="1"/>
  <c r="E642" i="1"/>
  <c r="D158" i="1"/>
  <c r="E267" i="1"/>
  <c r="E399" i="1"/>
  <c r="D202" i="1"/>
  <c r="D197" i="1"/>
  <c r="E377" i="1"/>
  <c r="D215" i="1"/>
  <c r="E271" i="1"/>
  <c r="D344" i="1"/>
  <c r="E229" i="1"/>
  <c r="D224" i="1"/>
  <c r="E295" i="1"/>
  <c r="E369" i="1"/>
  <c r="D241" i="1"/>
  <c r="D473" i="1"/>
  <c r="E106" i="1"/>
  <c r="E209" i="1"/>
  <c r="D12" i="1"/>
  <c r="E319" i="1"/>
  <c r="D263" i="1"/>
  <c r="D353" i="1"/>
  <c r="D476" i="1"/>
  <c r="E523" i="1"/>
  <c r="E268" i="1"/>
  <c r="E345" i="1"/>
  <c r="D296" i="1"/>
  <c r="E22" i="1"/>
  <c r="D44" i="1"/>
  <c r="E19" i="1"/>
  <c r="D85" i="1"/>
  <c r="E164" i="1"/>
  <c r="E219" i="1"/>
  <c r="D334" i="1"/>
  <c r="E207" i="1"/>
  <c r="E202" i="1"/>
  <c r="D312" i="1"/>
  <c r="D42" i="1"/>
  <c r="E5" i="1"/>
  <c r="D86" i="1"/>
  <c r="E217" i="1"/>
  <c r="D254" i="1"/>
  <c r="E346" i="1"/>
  <c r="D232" i="1"/>
  <c r="D326" i="1"/>
  <c r="E371" i="1"/>
  <c r="D142" i="1"/>
  <c r="E364" i="1"/>
  <c r="E160" i="1"/>
  <c r="D259" i="1"/>
  <c r="E325" i="1"/>
  <c r="E286" i="1"/>
  <c r="D166" i="1"/>
  <c r="D286" i="1"/>
  <c r="E339" i="1"/>
  <c r="E166" i="1"/>
  <c r="E9" i="1"/>
  <c r="D264" i="1"/>
  <c r="E12" i="1"/>
  <c r="D192" i="1"/>
  <c r="D136" i="1"/>
  <c r="E42" i="1"/>
  <c r="D328" i="1"/>
  <c r="E373" i="1"/>
  <c r="E324" i="1"/>
  <c r="E290" i="1"/>
  <c r="E393" i="1"/>
  <c r="D307" i="1"/>
  <c r="D392" i="1"/>
  <c r="D499" i="1"/>
  <c r="D532" i="1"/>
  <c r="D568" i="1"/>
  <c r="D604" i="1"/>
  <c r="D640" i="1"/>
  <c r="D674" i="1"/>
  <c r="E6" i="1"/>
  <c r="E10" i="1"/>
  <c r="E291" i="1"/>
  <c r="D168" i="1"/>
  <c r="E269" i="1"/>
  <c r="D384" i="1"/>
  <c r="D144" i="1"/>
  <c r="D219" i="1"/>
  <c r="E232" i="1"/>
  <c r="D330" i="1"/>
  <c r="D440" i="1"/>
  <c r="D471" i="1"/>
  <c r="D484" i="1"/>
  <c r="D193" i="1"/>
  <c r="E326" i="1"/>
  <c r="E157" i="1"/>
  <c r="E296" i="1"/>
  <c r="D225" i="1"/>
  <c r="D93" i="1"/>
  <c r="D20" i="1"/>
  <c r="D226" i="1"/>
  <c r="D358" i="1"/>
  <c r="E226" i="1"/>
  <c r="D209" i="1"/>
  <c r="D336" i="1"/>
  <c r="D149" i="1"/>
  <c r="E167" i="1"/>
  <c r="E198" i="1"/>
  <c r="D173" i="1"/>
  <c r="D332" i="1"/>
  <c r="D196" i="1"/>
  <c r="E328" i="1"/>
  <c r="E436" i="1"/>
  <c r="D439" i="1"/>
  <c r="E476" i="1"/>
  <c r="E283" i="1"/>
  <c r="D553" i="1"/>
  <c r="D637" i="1"/>
  <c r="E333" i="1"/>
  <c r="E710" i="1"/>
  <c r="E276" i="1"/>
  <c r="E473" i="1"/>
  <c r="D564" i="1"/>
  <c r="E601" i="1"/>
  <c r="D691" i="1"/>
  <c r="E717" i="1"/>
  <c r="E228" i="1"/>
  <c r="D364" i="1"/>
  <c r="D639" i="1"/>
  <c r="E682" i="1"/>
  <c r="E716" i="1"/>
  <c r="D135" i="1"/>
  <c r="E231" i="1"/>
  <c r="E363" i="1"/>
  <c r="E341" i="1"/>
  <c r="D256" i="1"/>
  <c r="E334" i="1"/>
  <c r="D199" i="1"/>
  <c r="E330" i="1"/>
  <c r="E312" i="1"/>
  <c r="E241" i="1"/>
  <c r="D217" i="1"/>
  <c r="E441" i="1"/>
  <c r="E537" i="1"/>
  <c r="D580" i="1"/>
  <c r="E679" i="1"/>
  <c r="D506" i="1"/>
  <c r="D87" i="1"/>
  <c r="E361" i="1"/>
  <c r="E434" i="1"/>
  <c r="E469" i="1"/>
  <c r="D385" i="1"/>
  <c r="E558" i="1"/>
  <c r="E519" i="1"/>
  <c r="D603" i="1"/>
  <c r="D284" i="1"/>
  <c r="E522" i="1"/>
  <c r="D566" i="1"/>
  <c r="E603" i="1"/>
  <c r="D693" i="1"/>
  <c r="E261" i="1"/>
  <c r="D504" i="1"/>
  <c r="D347" i="1"/>
  <c r="D597" i="1"/>
  <c r="E718" i="1"/>
  <c r="E289" i="1"/>
  <c r="D696" i="1"/>
  <c r="E929" i="1"/>
  <c r="D490" i="1"/>
  <c r="E314" i="1"/>
  <c r="D542" i="1"/>
  <c r="D13" i="1"/>
  <c r="E25" i="1"/>
  <c r="D137" i="1"/>
  <c r="E258" i="1"/>
  <c r="E204" i="1"/>
  <c r="E379" i="1"/>
  <c r="E336" i="1"/>
  <c r="E332" i="1"/>
  <c r="E318" i="1"/>
  <c r="D304" i="1"/>
  <c r="D218" i="1"/>
  <c r="E352" i="1"/>
  <c r="E585" i="1"/>
  <c r="D628" i="1"/>
  <c r="D230" i="1"/>
  <c r="E511" i="1"/>
  <c r="E278" i="1"/>
  <c r="D501" i="1"/>
  <c r="E300" i="1"/>
  <c r="D520" i="1"/>
  <c r="D601" i="1"/>
  <c r="D647" i="1"/>
  <c r="E483" i="1"/>
  <c r="D522" i="1"/>
  <c r="D605" i="1"/>
  <c r="D642" i="1"/>
  <c r="E687" i="1"/>
  <c r="D527" i="1"/>
  <c r="E568" i="1"/>
  <c r="E605" i="1"/>
  <c r="E354" i="1"/>
  <c r="D486" i="1"/>
  <c r="E536" i="1"/>
  <c r="E720" i="1"/>
  <c r="E580" i="1"/>
  <c r="D612" i="1"/>
  <c r="E698" i="1"/>
  <c r="D515" i="1"/>
  <c r="D687" i="1"/>
  <c r="D8" i="1"/>
  <c r="D139" i="1"/>
  <c r="D250" i="1"/>
  <c r="D233" i="1"/>
  <c r="D228" i="1"/>
  <c r="D138" i="1"/>
  <c r="E381" i="1"/>
  <c r="D369" i="1"/>
  <c r="D355" i="1"/>
  <c r="D321" i="1"/>
  <c r="D266" i="1"/>
  <c r="E310" i="1"/>
  <c r="E223" i="1"/>
  <c r="E246" i="1"/>
  <c r="E357" i="1"/>
  <c r="D283" i="1"/>
  <c r="E439" i="1"/>
  <c r="E506" i="1"/>
  <c r="E304" i="1"/>
  <c r="E525" i="1"/>
  <c r="E652" i="1"/>
  <c r="E370" i="1"/>
  <c r="D607" i="1"/>
  <c r="E644" i="1"/>
  <c r="D689" i="1"/>
  <c r="D717" i="1"/>
  <c r="E302" i="1"/>
  <c r="E529" i="1"/>
  <c r="E607" i="1"/>
  <c r="D724" i="1"/>
  <c r="E388" i="1"/>
  <c r="E509" i="1"/>
  <c r="D150" i="1"/>
  <c r="D379" i="1"/>
  <c r="D493" i="1"/>
  <c r="D292" i="1"/>
  <c r="D21" i="1"/>
  <c r="E13" i="1"/>
  <c r="D141" i="1"/>
  <c r="E255" i="1"/>
  <c r="D370" i="1"/>
  <c r="E238" i="1"/>
  <c r="E233" i="1"/>
  <c r="D348" i="1"/>
  <c r="E192" i="1"/>
  <c r="D265" i="1"/>
  <c r="E383" i="1"/>
  <c r="D371" i="1"/>
  <c r="D357" i="1"/>
  <c r="D327" i="1"/>
  <c r="D341" i="1"/>
  <c r="E504" i="1"/>
  <c r="D544" i="1"/>
  <c r="E645" i="1"/>
  <c r="D686" i="1"/>
  <c r="E252" i="1"/>
  <c r="D381" i="1"/>
  <c r="E287" i="1"/>
  <c r="D308" i="1"/>
  <c r="E487" i="1"/>
  <c r="D565" i="1"/>
  <c r="D613" i="1"/>
  <c r="D376" i="1"/>
  <c r="D529" i="1"/>
  <c r="D609" i="1"/>
  <c r="D309" i="1"/>
  <c r="D285" i="1"/>
  <c r="D480" i="1"/>
  <c r="D512" i="1"/>
  <c r="D500" i="1"/>
  <c r="D698" i="1"/>
  <c r="D745" i="1"/>
  <c r="E26" i="1"/>
  <c r="E20" i="1"/>
  <c r="E375" i="1"/>
  <c r="D83" i="1"/>
  <c r="D267" i="1"/>
  <c r="E237" i="1"/>
  <c r="E385" i="1"/>
  <c r="D373" i="1"/>
  <c r="E235" i="1"/>
  <c r="D349" i="1"/>
  <c r="D211" i="1"/>
  <c r="E347" i="1"/>
  <c r="E234" i="1"/>
  <c r="D399" i="1"/>
  <c r="E549" i="1"/>
  <c r="D592" i="1"/>
  <c r="E691" i="1"/>
  <c r="D268" i="1"/>
  <c r="D489" i="1"/>
  <c r="E618" i="1"/>
  <c r="D220" i="1"/>
  <c r="D387" i="1"/>
  <c r="E531" i="1"/>
  <c r="E646" i="1"/>
  <c r="E722" i="1"/>
  <c r="E488" i="1"/>
  <c r="D695" i="1"/>
  <c r="D290" i="1"/>
  <c r="E470" i="1"/>
  <c r="D558" i="1"/>
  <c r="D198" i="1"/>
  <c r="D550" i="1"/>
  <c r="E614" i="1"/>
  <c r="E700" i="1"/>
  <c r="D323" i="1"/>
  <c r="D106" i="1"/>
  <c r="E248" i="1"/>
  <c r="D235" i="1"/>
  <c r="E270" i="1"/>
  <c r="E386" i="1"/>
  <c r="D350" i="1"/>
  <c r="E236" i="1"/>
  <c r="D339" i="1"/>
  <c r="D533" i="1"/>
  <c r="D632" i="1"/>
  <c r="E560" i="1"/>
  <c r="D507" i="1"/>
  <c r="D619" i="1"/>
  <c r="E833" i="1"/>
  <c r="E497" i="1"/>
  <c r="D203" i="1"/>
  <c r="D314" i="1"/>
  <c r="E493" i="1"/>
  <c r="D644" i="1"/>
  <c r="D525" i="1"/>
  <c r="E475" i="1"/>
  <c r="D561" i="1"/>
  <c r="E657" i="1"/>
  <c r="E696" i="1"/>
  <c r="D281" i="1"/>
  <c r="D620" i="1"/>
  <c r="E44" i="1"/>
  <c r="D587" i="1"/>
  <c r="D621" i="1"/>
  <c r="D25" i="1"/>
  <c r="D277" i="1"/>
  <c r="D243" i="1"/>
  <c r="D287" i="1"/>
  <c r="E392" i="1"/>
  <c r="E163" i="1"/>
  <c r="D356" i="1"/>
  <c r="D650" i="1"/>
  <c r="D530" i="1"/>
  <c r="D432" i="1"/>
  <c r="D244" i="1"/>
  <c r="D535" i="1"/>
  <c r="E535" i="1"/>
  <c r="D634" i="1"/>
  <c r="E705" i="1"/>
  <c r="E562" i="1"/>
  <c r="D521" i="1"/>
  <c r="E592" i="1"/>
  <c r="E647" i="1"/>
  <c r="E43" i="1"/>
  <c r="D331" i="1"/>
  <c r="D497" i="1"/>
  <c r="E627" i="1"/>
  <c r="D538" i="1"/>
  <c r="D584" i="1"/>
  <c r="E538" i="1"/>
  <c r="D635" i="1"/>
  <c r="D108" i="1"/>
  <c r="E690" i="1"/>
  <c r="E362" i="1"/>
  <c r="D551" i="1"/>
  <c r="D505" i="1"/>
  <c r="E481" i="1"/>
  <c r="E512" i="1"/>
  <c r="D7" i="1"/>
  <c r="D276" i="1"/>
  <c r="D280" i="1"/>
  <c r="D289" i="1"/>
  <c r="D478" i="1"/>
  <c r="D556" i="1"/>
  <c r="E655" i="1"/>
  <c r="E532" i="1"/>
  <c r="E316" i="1"/>
  <c r="E225" i="1"/>
  <c r="D437" i="1"/>
  <c r="D541" i="1"/>
  <c r="D625" i="1"/>
  <c r="D537" i="1"/>
  <c r="D636" i="1"/>
  <c r="E193" i="1"/>
  <c r="E564" i="1"/>
  <c r="E624" i="1"/>
  <c r="D534" i="1"/>
  <c r="E694" i="1"/>
  <c r="E500" i="1"/>
  <c r="D657" i="1"/>
  <c r="D704" i="1"/>
  <c r="E331" i="1"/>
  <c r="D164" i="1"/>
  <c r="E612" i="1"/>
  <c r="D667" i="1"/>
  <c r="E432" i="1"/>
  <c r="E620" i="1"/>
  <c r="E851" i="1"/>
  <c r="E628" i="1"/>
  <c r="D649" i="1"/>
  <c r="D255" i="1"/>
  <c r="D559" i="1"/>
  <c r="E651" i="1"/>
  <c r="E701" i="1"/>
  <c r="D656" i="1"/>
  <c r="E677" i="1"/>
  <c r="E288" i="1"/>
  <c r="D690" i="1"/>
  <c r="D540" i="1"/>
  <c r="E505" i="1"/>
  <c r="E615" i="1"/>
  <c r="D82" i="1"/>
  <c r="D305" i="1"/>
  <c r="E282" i="1"/>
  <c r="D291" i="1"/>
  <c r="D174" i="1"/>
  <c r="E480" i="1"/>
  <c r="E478" i="1"/>
  <c r="E320" i="1"/>
  <c r="E546" i="1"/>
  <c r="E630" i="1"/>
  <c r="D302" i="1"/>
  <c r="E539" i="1"/>
  <c r="E376" i="1"/>
  <c r="D638" i="1"/>
  <c r="D441" i="1"/>
  <c r="E566" i="1"/>
  <c r="D629" i="1"/>
  <c r="D366" i="1"/>
  <c r="D548" i="1"/>
  <c r="E264" i="1"/>
  <c r="E355" i="1"/>
  <c r="E507" i="1"/>
  <c r="D602" i="1"/>
  <c r="D706" i="1"/>
  <c r="D567" i="1"/>
  <c r="E864" i="1"/>
  <c r="D380" i="1"/>
  <c r="D572" i="1"/>
  <c r="D617" i="1"/>
  <c r="E669" i="1"/>
  <c r="D702" i="1"/>
  <c r="E623" i="1"/>
  <c r="E921" i="1"/>
  <c r="E307" i="1"/>
  <c r="D295" i="1"/>
  <c r="D378" i="1"/>
  <c r="E482" i="1"/>
  <c r="E573" i="1"/>
  <c r="D388" i="1"/>
  <c r="D560" i="1"/>
  <c r="E640" i="1"/>
  <c r="D712" i="1"/>
  <c r="D210" i="1"/>
  <c r="E712" i="1"/>
  <c r="E380" i="1"/>
  <c r="E556" i="1"/>
  <c r="E211" i="1"/>
  <c r="D524" i="1"/>
  <c r="D669" i="1"/>
  <c r="D708" i="1"/>
  <c r="E838" i="1"/>
  <c r="E595" i="1"/>
  <c r="D231" i="1"/>
  <c r="D575" i="1"/>
  <c r="E622" i="1"/>
  <c r="E704" i="1"/>
  <c r="E567" i="1"/>
  <c r="E485" i="1"/>
  <c r="D242" i="1"/>
  <c r="E350" i="1"/>
  <c r="D147" i="1"/>
  <c r="D195" i="1"/>
  <c r="D300" i="1"/>
  <c r="E197" i="1"/>
  <c r="E309" i="1"/>
  <c r="D297" i="1"/>
  <c r="E108" i="1"/>
  <c r="D434" i="1"/>
  <c r="D487" i="1"/>
  <c r="D705" i="1"/>
  <c r="E394" i="1"/>
  <c r="D562" i="1"/>
  <c r="E530" i="1"/>
  <c r="E634" i="1"/>
  <c r="E714" i="1"/>
  <c r="E395" i="1"/>
  <c r="D590" i="1"/>
  <c r="E372" i="1"/>
  <c r="E619" i="1"/>
  <c r="E671" i="1"/>
  <c r="D710" i="1"/>
  <c r="E292" i="1"/>
  <c r="D627" i="1"/>
  <c r="E678" i="1"/>
  <c r="E706" i="1"/>
  <c r="E638" i="1"/>
  <c r="E695" i="1"/>
  <c r="D163" i="1"/>
  <c r="E321" i="1"/>
  <c r="D513" i="1"/>
  <c r="D577" i="1"/>
  <c r="D570" i="1"/>
  <c r="E210" i="1"/>
  <c r="E555" i="1"/>
  <c r="D600" i="1"/>
  <c r="D547" i="1"/>
  <c r="E524" i="1"/>
  <c r="E708" i="1"/>
  <c r="E702" i="1"/>
  <c r="D651" i="1"/>
  <c r="E390" i="1"/>
  <c r="D401" i="1"/>
  <c r="E643" i="1"/>
  <c r="E579" i="1"/>
  <c r="D683" i="1"/>
  <c r="E659" i="1"/>
  <c r="E571" i="1"/>
  <c r="E308" i="1"/>
  <c r="E540" i="1"/>
  <c r="D545" i="1"/>
  <c r="E829" i="1"/>
  <c r="D578" i="1"/>
  <c r="E391" i="1"/>
  <c r="E168" i="1"/>
  <c r="D69" i="1"/>
  <c r="E609" i="1"/>
  <c r="D278" i="1"/>
  <c r="E518" i="1"/>
  <c r="E582" i="1"/>
  <c r="E572" i="1"/>
  <c r="E550" i="1"/>
  <c r="E680" i="1"/>
  <c r="E366" i="1"/>
  <c r="E632" i="1"/>
  <c r="D160" i="1"/>
  <c r="D655" i="1"/>
  <c r="D510" i="1"/>
  <c r="E724" i="1"/>
  <c r="E583" i="1"/>
  <c r="E686" i="1"/>
  <c r="E847" i="1"/>
  <c r="E335" i="1"/>
  <c r="D208" i="1"/>
  <c r="D618" i="1"/>
  <c r="E479" i="1"/>
  <c r="D543" i="1"/>
  <c r="E844" i="1"/>
  <c r="E588" i="1"/>
  <c r="D593" i="1"/>
  <c r="D700" i="1"/>
  <c r="D383" i="1"/>
  <c r="E285" i="1"/>
  <c r="E437" i="1"/>
  <c r="E600" i="1"/>
  <c r="E577" i="1"/>
  <c r="D614" i="1"/>
  <c r="D725" i="1"/>
  <c r="E216" i="1"/>
  <c r="D692" i="1"/>
  <c r="D645" i="1"/>
  <c r="D646" i="1"/>
  <c r="E596" i="1"/>
  <c r="BF1" i="1"/>
  <c r="Y1" i="1"/>
  <c r="BJ1" i="1"/>
  <c r="BM1" i="1"/>
  <c r="AS1" i="1"/>
  <c r="W1" i="1"/>
  <c r="AA1" i="1"/>
  <c r="G1" i="1"/>
  <c r="D557" i="1"/>
  <c r="D682" i="1"/>
  <c r="D685" i="1"/>
  <c r="D554" i="1"/>
  <c r="D41" i="1"/>
  <c r="D298" i="1"/>
  <c r="E343" i="1"/>
  <c r="E574" i="1"/>
  <c r="D569" i="1"/>
  <c r="E617" i="1"/>
  <c r="E934" i="1"/>
  <c r="D539" i="1"/>
  <c r="E203" i="1"/>
  <c r="E502" i="1"/>
  <c r="E658" i="1"/>
  <c r="D472" i="1"/>
  <c r="E670" i="1"/>
  <c r="E503" i="1"/>
  <c r="E711" i="1"/>
  <c r="E636" i="1"/>
  <c r="D485" i="1"/>
  <c r="D721" i="1"/>
  <c r="E510" i="1"/>
  <c r="D526" i="1"/>
  <c r="E713" i="1"/>
  <c r="D157" i="1"/>
  <c r="AW1" i="1"/>
  <c r="T1" i="1"/>
  <c r="D68" i="1"/>
  <c r="E303" i="1"/>
  <c r="E349" i="1"/>
  <c r="D311" i="1"/>
  <c r="D494" i="1"/>
  <c r="E576" i="1"/>
  <c r="E259" i="1"/>
  <c r="E547" i="1"/>
  <c r="E508" i="1"/>
  <c r="D677" i="1"/>
  <c r="E552" i="1"/>
  <c r="D720" i="1"/>
  <c r="D318" i="1"/>
  <c r="D591" i="1"/>
  <c r="D718" i="1"/>
  <c r="E796" i="1"/>
  <c r="D352" i="1"/>
  <c r="D616" i="1"/>
  <c r="D316" i="1"/>
  <c r="E499" i="1"/>
  <c r="D589" i="1"/>
  <c r="E578" i="1"/>
  <c r="D279" i="1"/>
  <c r="D582" i="1"/>
  <c r="E569" i="1"/>
  <c r="D436" i="1"/>
  <c r="D317" i="1"/>
  <c r="E551" i="1"/>
  <c r="D319" i="1"/>
  <c r="D492" i="1"/>
  <c r="D598" i="1"/>
  <c r="E591" i="1"/>
  <c r="D681" i="1"/>
  <c r="D333" i="1"/>
  <c r="D594" i="1"/>
  <c r="D588" i="1"/>
  <c r="E656" i="1"/>
  <c r="E725" i="1"/>
  <c r="E866" i="1"/>
  <c r="E608" i="1"/>
  <c r="E557" i="1"/>
  <c r="D744" i="1"/>
  <c r="D322" i="1"/>
  <c r="D181" i="1"/>
  <c r="E220" i="1"/>
  <c r="E358" i="1"/>
  <c r="E621" i="1"/>
  <c r="D320" i="1"/>
  <c r="E594" i="1"/>
  <c r="D470" i="1"/>
  <c r="D599" i="1"/>
  <c r="D313" i="1"/>
  <c r="E587" i="1"/>
  <c r="D652" i="1"/>
  <c r="D679" i="1"/>
  <c r="D555" i="1"/>
  <c r="D576" i="1"/>
  <c r="E472" i="1"/>
  <c r="D223" i="1"/>
  <c r="D573" i="1"/>
  <c r="D498" i="1"/>
  <c r="E616" i="1"/>
  <c r="E699" i="1"/>
  <c r="E489" i="1"/>
  <c r="D697" i="1"/>
  <c r="E498" i="1"/>
  <c r="E598" i="1"/>
  <c r="E683" i="1"/>
  <c r="D549" i="1"/>
  <c r="D626" i="1"/>
  <c r="E496" i="1"/>
  <c r="E266" i="1"/>
  <c r="E196" i="1"/>
  <c r="D337" i="1"/>
  <c r="D659" i="1"/>
  <c r="E648" i="1"/>
  <c r="E542" i="1"/>
  <c r="E563" i="1"/>
  <c r="E918" i="1"/>
  <c r="E205" i="1"/>
  <c r="D668" i="1"/>
  <c r="D325" i="1"/>
  <c r="D468" i="1"/>
  <c r="E961" i="1"/>
  <c r="E719" i="1"/>
  <c r="D482" i="1"/>
  <c r="E848" i="1"/>
  <c r="E495" i="1"/>
  <c r="BG1" i="1"/>
  <c r="AN1" i="1"/>
  <c r="AF1" i="1"/>
  <c r="R1" i="1"/>
  <c r="D502" i="1"/>
  <c r="D672" i="1"/>
  <c r="O1" i="1"/>
  <c r="E599" i="1"/>
  <c r="E841" i="1"/>
  <c r="P1" i="1"/>
  <c r="E586" i="1"/>
  <c r="AZ1" i="1"/>
  <c r="E213" i="1"/>
  <c r="E322" i="1"/>
  <c r="E553" i="1"/>
  <c r="D481" i="1"/>
  <c r="D386" i="1"/>
  <c r="D236" i="1"/>
  <c r="E515" i="1"/>
  <c r="D714" i="1"/>
  <c r="E692" i="1"/>
  <c r="E384" i="1"/>
  <c r="E604" i="1"/>
  <c r="D491" i="1"/>
  <c r="D536" i="1"/>
  <c r="D615" i="1"/>
  <c r="D2" i="1"/>
  <c r="AB1" i="1"/>
  <c r="N1" i="1"/>
  <c r="I1" i="1"/>
  <c r="U1" i="1"/>
  <c r="E468" i="1"/>
  <c r="D716" i="1"/>
  <c r="E2" i="1"/>
  <c r="L1" i="1"/>
  <c r="BA1" i="1"/>
  <c r="Q1" i="1"/>
  <c r="D329" i="1"/>
  <c r="E688" i="1"/>
  <c r="AG1" i="1"/>
  <c r="AX1" i="1"/>
  <c r="D503" i="1"/>
  <c r="E697" i="1"/>
  <c r="E681" i="1"/>
  <c r="E650" i="1"/>
  <c r="AD1" i="1"/>
  <c r="D488" i="1"/>
  <c r="E676" i="1"/>
  <c r="E613" i="1"/>
  <c r="E368" i="1"/>
  <c r="D707" i="1"/>
  <c r="E521" i="1"/>
  <c r="AM1" i="1"/>
  <c r="D496" i="1"/>
  <c r="D237" i="1"/>
  <c r="E527" i="1"/>
  <c r="D260" i="1"/>
  <c r="D294" i="1"/>
  <c r="D719" i="1"/>
  <c r="BL1" i="1"/>
  <c r="E629" i="1"/>
  <c r="D519" i="1"/>
  <c r="D368" i="1"/>
  <c r="E294" i="1"/>
  <c r="D675" i="1"/>
  <c r="D630" i="1"/>
  <c r="M1" i="1"/>
  <c r="D5" i="1"/>
  <c r="D508" i="1"/>
  <c r="E253" i="1"/>
  <c r="D271" i="1"/>
  <c r="E179" i="1"/>
  <c r="D315" i="1"/>
  <c r="D509" i="1"/>
  <c r="D477" i="1"/>
  <c r="D673" i="1"/>
  <c r="E360" i="1"/>
  <c r="E548" i="1"/>
  <c r="D631" i="1"/>
  <c r="D623" i="1"/>
  <c r="E435" i="1"/>
  <c r="E581" i="1"/>
  <c r="E541" i="1"/>
  <c r="E545" i="1"/>
  <c r="Z1" i="1"/>
  <c r="X1" i="1"/>
  <c r="AQ1" i="1"/>
  <c r="E565" i="1"/>
  <c r="BN1" i="1"/>
  <c r="D583" i="1"/>
  <c r="E516" i="1"/>
  <c r="BB1" i="1"/>
  <c r="D595" i="1"/>
  <c r="E631" i="1"/>
  <c r="D586" i="1"/>
  <c r="AU1" i="1"/>
  <c r="D258" i="1"/>
  <c r="E230" i="1"/>
  <c r="E672" i="1"/>
  <c r="E924" i="1"/>
  <c r="E575" i="1"/>
  <c r="D643" i="1"/>
  <c r="E438" i="1"/>
  <c r="E635" i="1"/>
  <c r="D633" i="1"/>
  <c r="E589" i="1"/>
  <c r="E626" i="1"/>
  <c r="D351" i="1"/>
  <c r="AL1" i="1"/>
  <c r="AJ1" i="1"/>
  <c r="D581" i="1"/>
  <c r="D546" i="1"/>
  <c r="E544" i="1"/>
  <c r="E474" i="1"/>
  <c r="D24" i="1"/>
  <c r="E520" i="1"/>
  <c r="E526" i="1"/>
  <c r="D474" i="1"/>
  <c r="AH1" i="1"/>
  <c r="D684" i="1"/>
  <c r="E554" i="1"/>
  <c r="BK1" i="1"/>
  <c r="E274" i="1"/>
  <c r="D222" i="1"/>
  <c r="D528" i="1"/>
  <c r="D701" i="1"/>
  <c r="E260" i="1"/>
  <c r="E323" i="1"/>
  <c r="D699" i="1"/>
  <c r="E374" i="1"/>
  <c r="E674" i="1"/>
  <c r="E514" i="1"/>
  <c r="D438" i="1"/>
  <c r="E584" i="1"/>
  <c r="D641" i="1"/>
  <c r="E832" i="1"/>
  <c r="E382" i="1"/>
  <c r="D713" i="1"/>
  <c r="E593" i="1"/>
  <c r="D596" i="1"/>
  <c r="D397" i="1"/>
  <c r="D608" i="1"/>
  <c r="S1" i="1"/>
  <c r="BH1" i="1"/>
  <c r="D511" i="1"/>
  <c r="D703" i="1"/>
  <c r="D658" i="1"/>
  <c r="AR1" i="1"/>
  <c r="D624" i="1"/>
  <c r="D216" i="1"/>
  <c r="D574" i="1"/>
  <c r="E673" i="1"/>
  <c r="E3" i="1"/>
  <c r="E195" i="1"/>
  <c r="E703" i="1"/>
  <c r="E378" i="1"/>
  <c r="D676" i="1"/>
  <c r="D517" i="1"/>
  <c r="E359" i="1"/>
  <c r="E486" i="1"/>
  <c r="D694" i="1"/>
  <c r="D723" i="1"/>
  <c r="D552" i="1"/>
  <c r="D606" i="1"/>
  <c r="E649" i="1"/>
  <c r="D531" i="1"/>
  <c r="E641" i="1"/>
  <c r="E668" i="1"/>
  <c r="D688" i="1"/>
  <c r="D516" i="1"/>
  <c r="J1" i="1"/>
  <c r="AV1" i="1"/>
  <c r="AY1" i="1"/>
  <c r="H1" i="1"/>
  <c r="BC1" i="1"/>
  <c r="D26" i="1"/>
  <c r="E517" i="1"/>
  <c r="E227" i="1"/>
  <c r="D622" i="1"/>
  <c r="D585" i="1"/>
  <c r="D579" i="1"/>
  <c r="D715" i="1"/>
  <c r="E693" i="1"/>
  <c r="E625" i="1"/>
  <c r="V1" i="1"/>
  <c r="AO1" i="1"/>
  <c r="E222" i="1"/>
  <c r="E685" i="1"/>
  <c r="E491" i="1"/>
  <c r="D678" i="1"/>
  <c r="D671" i="1"/>
  <c r="E637" i="1"/>
  <c r="E723" i="1"/>
  <c r="E709" i="1"/>
  <c r="D354" i="1"/>
  <c r="AT1" i="1"/>
  <c r="E244" i="1"/>
  <c r="E590" i="1"/>
  <c r="E964" i="1"/>
  <c r="D722" i="1"/>
  <c r="E707" i="1"/>
  <c r="AC1" i="1"/>
  <c r="E533" i="1"/>
  <c r="D709" i="1"/>
  <c r="E397" i="1"/>
  <c r="AP1" i="1"/>
  <c r="D393" i="1"/>
  <c r="AK1" i="1"/>
  <c r="E689" i="1"/>
  <c r="D120" i="1"/>
  <c r="D680" i="1"/>
  <c r="D571" i="1"/>
  <c r="D194" i="1"/>
  <c r="E513" i="1"/>
  <c r="BI1" i="1"/>
  <c r="E559" i="1"/>
  <c r="AE1" i="1"/>
  <c r="D648" i="1"/>
  <c r="E298" i="1"/>
  <c r="E543" i="1"/>
  <c r="E715" i="1"/>
  <c r="E490" i="1"/>
  <c r="D362" i="1"/>
  <c r="E684" i="1"/>
  <c r="E639" i="1"/>
  <c r="D483" i="1"/>
  <c r="E675" i="1"/>
  <c r="D261" i="1"/>
  <c r="D563" i="1"/>
  <c r="D711" i="1"/>
  <c r="E306" i="1"/>
  <c r="D670" i="1"/>
  <c r="AI1" i="1"/>
  <c r="E194" i="1"/>
  <c r="D523" i="1"/>
  <c r="D335" i="1"/>
  <c r="E721" i="1"/>
  <c r="D495" i="1"/>
  <c r="K1" i="1"/>
  <c r="D469" i="1"/>
  <c r="E602" i="1"/>
  <c r="D514" i="1"/>
  <c r="BE1" i="1"/>
  <c r="E337" i="1"/>
  <c r="BD1" i="1"/>
  <c r="C974" i="1"/>
  <c r="C962" i="1"/>
  <c r="C950" i="1"/>
  <c r="C938" i="1"/>
  <c r="C926" i="1"/>
  <c r="C914" i="1"/>
  <c r="C902" i="1"/>
  <c r="C890" i="1"/>
  <c r="C878" i="1"/>
  <c r="C866" i="1"/>
  <c r="C854" i="1"/>
  <c r="C842" i="1"/>
  <c r="C830" i="1"/>
  <c r="C818" i="1"/>
  <c r="C806" i="1"/>
  <c r="C794" i="1"/>
  <c r="C782" i="1"/>
  <c r="C770" i="1"/>
  <c r="C758" i="1"/>
  <c r="C746" i="1"/>
  <c r="C734" i="1"/>
  <c r="C707" i="1"/>
  <c r="C696" i="1"/>
  <c r="C683" i="1"/>
  <c r="C671" i="1"/>
  <c r="C659" i="1"/>
  <c r="C647" i="1"/>
  <c r="C637" i="1"/>
  <c r="C625" i="1"/>
  <c r="C613" i="1"/>
  <c r="C601" i="1"/>
  <c r="C589" i="1"/>
  <c r="C577" i="1"/>
  <c r="C565" i="1"/>
  <c r="C553" i="1"/>
  <c r="C541" i="1"/>
  <c r="C520" i="1"/>
  <c r="C508" i="1"/>
  <c r="C496" i="1"/>
  <c r="C476" i="1"/>
  <c r="C475" i="1"/>
  <c r="C455" i="1"/>
  <c r="C443" i="1"/>
  <c r="C432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11" i="1"/>
  <c r="C199" i="1"/>
  <c r="C187" i="1"/>
  <c r="C171" i="1"/>
  <c r="C160" i="1"/>
  <c r="C149" i="1"/>
  <c r="C137" i="1"/>
  <c r="C125" i="1"/>
  <c r="C115" i="1"/>
  <c r="C103" i="1"/>
  <c r="C91" i="1"/>
  <c r="C79" i="1"/>
  <c r="C65" i="1"/>
  <c r="C53" i="1"/>
  <c r="C41" i="1"/>
  <c r="C23" i="1"/>
  <c r="C13" i="1"/>
  <c r="C945" i="1"/>
  <c r="C897" i="1"/>
  <c r="C873" i="1"/>
  <c r="C849" i="1"/>
  <c r="C825" i="1"/>
  <c r="C801" i="1"/>
  <c r="C777" i="1"/>
  <c r="C753" i="1"/>
  <c r="C729" i="1"/>
  <c r="C678" i="1"/>
  <c r="C654" i="1"/>
  <c r="C632" i="1"/>
  <c r="C596" i="1"/>
  <c r="C560" i="1"/>
  <c r="C527" i="1"/>
  <c r="C470" i="1"/>
  <c r="C450" i="1"/>
  <c r="C417" i="1"/>
  <c r="C381" i="1"/>
  <c r="C297" i="1"/>
  <c r="C182" i="1"/>
  <c r="C132" i="1"/>
  <c r="C973" i="1"/>
  <c r="C961" i="1"/>
  <c r="C949" i="1"/>
  <c r="C937" i="1"/>
  <c r="C925" i="1"/>
  <c r="C913" i="1"/>
  <c r="C901" i="1"/>
  <c r="C889" i="1"/>
  <c r="C877" i="1"/>
  <c r="C865" i="1"/>
  <c r="C853" i="1"/>
  <c r="C841" i="1"/>
  <c r="C829" i="1"/>
  <c r="C817" i="1"/>
  <c r="C805" i="1"/>
  <c r="C793" i="1"/>
  <c r="C781" i="1"/>
  <c r="C769" i="1"/>
  <c r="C757" i="1"/>
  <c r="C745" i="1"/>
  <c r="C733" i="1"/>
  <c r="C706" i="1"/>
  <c r="C695" i="1"/>
  <c r="C682" i="1"/>
  <c r="C670" i="1"/>
  <c r="C658" i="1"/>
  <c r="C646" i="1"/>
  <c r="C636" i="1"/>
  <c r="C624" i="1"/>
  <c r="C612" i="1"/>
  <c r="C600" i="1"/>
  <c r="C588" i="1"/>
  <c r="C576" i="1"/>
  <c r="C564" i="1"/>
  <c r="C552" i="1"/>
  <c r="C540" i="1"/>
  <c r="C531" i="1"/>
  <c r="C519" i="1"/>
  <c r="C507" i="1"/>
  <c r="C495" i="1"/>
  <c r="C474" i="1"/>
  <c r="C454" i="1"/>
  <c r="C442" i="1"/>
  <c r="C421" i="1"/>
  <c r="C409" i="1"/>
  <c r="C397" i="1"/>
  <c r="C385" i="1"/>
  <c r="C373" i="1"/>
  <c r="C361" i="1"/>
  <c r="C349" i="1"/>
  <c r="C337" i="1"/>
  <c r="C325" i="1"/>
  <c r="C313" i="1"/>
  <c r="C301" i="1"/>
  <c r="C289" i="1"/>
  <c r="C277" i="1"/>
  <c r="C265" i="1"/>
  <c r="C253" i="1"/>
  <c r="C241" i="1"/>
  <c r="C229" i="1"/>
  <c r="C210" i="1"/>
  <c r="C198" i="1"/>
  <c r="C186" i="1"/>
  <c r="C170" i="1"/>
  <c r="C159" i="1"/>
  <c r="C148" i="1"/>
  <c r="C136" i="1"/>
  <c r="C124" i="1"/>
  <c r="C114" i="1"/>
  <c r="C102" i="1"/>
  <c r="C90" i="1"/>
  <c r="C78" i="1"/>
  <c r="C64" i="1"/>
  <c r="C52" i="1"/>
  <c r="C40" i="1"/>
  <c r="C22" i="1"/>
  <c r="C12" i="1"/>
  <c r="C933" i="1"/>
  <c r="C620" i="1"/>
  <c r="C572" i="1"/>
  <c r="C536" i="1"/>
  <c r="C503" i="1"/>
  <c r="C483" i="1"/>
  <c r="C439" i="1"/>
  <c r="C393" i="1"/>
  <c r="C357" i="1"/>
  <c r="C333" i="1"/>
  <c r="C285" i="1"/>
  <c r="C249" i="1"/>
  <c r="C206" i="1"/>
  <c r="C156" i="1"/>
  <c r="C972" i="1"/>
  <c r="C960" i="1"/>
  <c r="C948" i="1"/>
  <c r="C936" i="1"/>
  <c r="C924" i="1"/>
  <c r="C912" i="1"/>
  <c r="C900" i="1"/>
  <c r="C888" i="1"/>
  <c r="C876" i="1"/>
  <c r="C864" i="1"/>
  <c r="C852" i="1"/>
  <c r="C840" i="1"/>
  <c r="C828" i="1"/>
  <c r="C816" i="1"/>
  <c r="C804" i="1"/>
  <c r="C792" i="1"/>
  <c r="C780" i="1"/>
  <c r="C768" i="1"/>
  <c r="C756" i="1"/>
  <c r="C744" i="1"/>
  <c r="C732" i="1"/>
  <c r="C705" i="1"/>
  <c r="C694" i="1"/>
  <c r="C693" i="1"/>
  <c r="C681" i="1"/>
  <c r="C669" i="1"/>
  <c r="C657" i="1"/>
  <c r="C635" i="1"/>
  <c r="C623" i="1"/>
  <c r="C611" i="1"/>
  <c r="C599" i="1"/>
  <c r="C587" i="1"/>
  <c r="C575" i="1"/>
  <c r="C563" i="1"/>
  <c r="C551" i="1"/>
  <c r="C539" i="1"/>
  <c r="C530" i="1"/>
  <c r="C518" i="1"/>
  <c r="C506" i="1"/>
  <c r="C494" i="1"/>
  <c r="C473" i="1"/>
  <c r="C465" i="1"/>
  <c r="C453" i="1"/>
  <c r="C420" i="1"/>
  <c r="C408" i="1"/>
  <c r="C396" i="1"/>
  <c r="C384" i="1"/>
  <c r="C372" i="1"/>
  <c r="C360" i="1"/>
  <c r="C348" i="1"/>
  <c r="C336" i="1"/>
  <c r="C324" i="1"/>
  <c r="C312" i="1"/>
  <c r="C300" i="1"/>
  <c r="C288" i="1"/>
  <c r="C276" i="1"/>
  <c r="C264" i="1"/>
  <c r="C252" i="1"/>
  <c r="C240" i="1"/>
  <c r="C228" i="1"/>
  <c r="C209" i="1"/>
  <c r="C197" i="1"/>
  <c r="C185" i="1"/>
  <c r="C181" i="1"/>
  <c r="C169" i="1"/>
  <c r="C158" i="1"/>
  <c r="C147" i="1"/>
  <c r="C135" i="1"/>
  <c r="C123" i="1"/>
  <c r="C113" i="1"/>
  <c r="C101" i="1"/>
  <c r="C89" i="1"/>
  <c r="C77" i="1"/>
  <c r="C63" i="1"/>
  <c r="C51" i="1"/>
  <c r="C39" i="1"/>
  <c r="C21" i="1"/>
  <c r="C11" i="1"/>
  <c r="C921" i="1"/>
  <c r="C405" i="1"/>
  <c r="C321" i="1"/>
  <c r="C261" i="1"/>
  <c r="C178" i="1"/>
  <c r="C971" i="1"/>
  <c r="C959" i="1"/>
  <c r="C947" i="1"/>
  <c r="C935" i="1"/>
  <c r="C923" i="1"/>
  <c r="C911" i="1"/>
  <c r="C899" i="1"/>
  <c r="C887" i="1"/>
  <c r="C875" i="1"/>
  <c r="C863" i="1"/>
  <c r="C851" i="1"/>
  <c r="C839" i="1"/>
  <c r="C827" i="1"/>
  <c r="C815" i="1"/>
  <c r="C803" i="1"/>
  <c r="C791" i="1"/>
  <c r="C779" i="1"/>
  <c r="C767" i="1"/>
  <c r="C755" i="1"/>
  <c r="C743" i="1"/>
  <c r="C731" i="1"/>
  <c r="C704" i="1"/>
  <c r="C692" i="1"/>
  <c r="C680" i="1"/>
  <c r="C668" i="1"/>
  <c r="C656" i="1"/>
  <c r="C634" i="1"/>
  <c r="C622" i="1"/>
  <c r="C610" i="1"/>
  <c r="C598" i="1"/>
  <c r="C586" i="1"/>
  <c r="C574" i="1"/>
  <c r="C562" i="1"/>
  <c r="C550" i="1"/>
  <c r="C538" i="1"/>
  <c r="C529" i="1"/>
  <c r="C517" i="1"/>
  <c r="C505" i="1"/>
  <c r="C493" i="1"/>
  <c r="C485" i="1"/>
  <c r="C472" i="1"/>
  <c r="C464" i="1"/>
  <c r="C452" i="1"/>
  <c r="C441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08" i="1"/>
  <c r="C196" i="1"/>
  <c r="C184" i="1"/>
  <c r="C180" i="1"/>
  <c r="C168" i="1"/>
  <c r="C157" i="1"/>
  <c r="C146" i="1"/>
  <c r="C134" i="1"/>
  <c r="C122" i="1"/>
  <c r="C112" i="1"/>
  <c r="C100" i="1"/>
  <c r="C88" i="1"/>
  <c r="C76" i="1"/>
  <c r="C62" i="1"/>
  <c r="C50" i="1"/>
  <c r="C38" i="1"/>
  <c r="C20" i="1"/>
  <c r="C10" i="1"/>
  <c r="C969" i="1"/>
  <c r="C909" i="1"/>
  <c r="C885" i="1"/>
  <c r="C861" i="1"/>
  <c r="C837" i="1"/>
  <c r="C813" i="1"/>
  <c r="C789" i="1"/>
  <c r="C765" i="1"/>
  <c r="C741" i="1"/>
  <c r="C702" i="1"/>
  <c r="C690" i="1"/>
  <c r="C666" i="1"/>
  <c r="C644" i="1"/>
  <c r="C608" i="1"/>
  <c r="C584" i="1"/>
  <c r="C548" i="1"/>
  <c r="C515" i="1"/>
  <c r="C491" i="1"/>
  <c r="C462" i="1"/>
  <c r="C429" i="1"/>
  <c r="C369" i="1"/>
  <c r="C309" i="1"/>
  <c r="C273" i="1"/>
  <c r="C225" i="1"/>
  <c r="C194" i="1"/>
  <c r="C970" i="1"/>
  <c r="C958" i="1"/>
  <c r="C946" i="1"/>
  <c r="C934" i="1"/>
  <c r="C922" i="1"/>
  <c r="C910" i="1"/>
  <c r="C898" i="1"/>
  <c r="C886" i="1"/>
  <c r="C874" i="1"/>
  <c r="C862" i="1"/>
  <c r="C850" i="1"/>
  <c r="C838" i="1"/>
  <c r="C826" i="1"/>
  <c r="C814" i="1"/>
  <c r="C802" i="1"/>
  <c r="C790" i="1"/>
  <c r="C778" i="1"/>
  <c r="C766" i="1"/>
  <c r="C754" i="1"/>
  <c r="C742" i="1"/>
  <c r="C730" i="1"/>
  <c r="C703" i="1"/>
  <c r="C691" i="1"/>
  <c r="C679" i="1"/>
  <c r="C667" i="1"/>
  <c r="C655" i="1"/>
  <c r="C645" i="1"/>
  <c r="C633" i="1"/>
  <c r="C621" i="1"/>
  <c r="C609" i="1"/>
  <c r="C597" i="1"/>
  <c r="C585" i="1"/>
  <c r="C573" i="1"/>
  <c r="C561" i="1"/>
  <c r="C549" i="1"/>
  <c r="C537" i="1"/>
  <c r="C528" i="1"/>
  <c r="C516" i="1"/>
  <c r="C504" i="1"/>
  <c r="C492" i="1"/>
  <c r="C484" i="1"/>
  <c r="C471" i="1"/>
  <c r="C463" i="1"/>
  <c r="C451" i="1"/>
  <c r="C440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07" i="1"/>
  <c r="C195" i="1"/>
  <c r="C183" i="1"/>
  <c r="C179" i="1"/>
  <c r="C167" i="1"/>
  <c r="C145" i="1"/>
  <c r="C133" i="1"/>
  <c r="C121" i="1"/>
  <c r="C111" i="1"/>
  <c r="C99" i="1"/>
  <c r="C87" i="1"/>
  <c r="C75" i="1"/>
  <c r="C61" i="1"/>
  <c r="C49" i="1"/>
  <c r="C37" i="1"/>
  <c r="C31" i="1"/>
  <c r="C9" i="1"/>
  <c r="C957" i="1"/>
  <c r="C345" i="1"/>
  <c r="C237" i="1"/>
  <c r="C166" i="1"/>
  <c r="C968" i="1"/>
  <c r="C944" i="1"/>
  <c r="C920" i="1"/>
  <c r="C896" i="1"/>
  <c r="C872" i="1"/>
  <c r="C848" i="1"/>
  <c r="C824" i="1"/>
  <c r="C800" i="1"/>
  <c r="C776" i="1"/>
  <c r="C752" i="1"/>
  <c r="C728" i="1"/>
  <c r="C677" i="1"/>
  <c r="C653" i="1"/>
  <c r="C631" i="1"/>
  <c r="C607" i="1"/>
  <c r="C583" i="1"/>
  <c r="C559" i="1"/>
  <c r="C535" i="1"/>
  <c r="C514" i="1"/>
  <c r="C490" i="1"/>
  <c r="C469" i="1"/>
  <c r="C461" i="1"/>
  <c r="C438" i="1"/>
  <c r="C416" i="1"/>
  <c r="C392" i="1"/>
  <c r="C368" i="1"/>
  <c r="C344" i="1"/>
  <c r="C320" i="1"/>
  <c r="C296" i="1"/>
  <c r="C272" i="1"/>
  <c r="C248" i="1"/>
  <c r="C224" i="1"/>
  <c r="C205" i="1"/>
  <c r="C165" i="1"/>
  <c r="C144" i="1"/>
  <c r="C126" i="1"/>
  <c r="C106" i="1"/>
  <c r="C84" i="1"/>
  <c r="C57" i="1"/>
  <c r="C35" i="1"/>
  <c r="C5" i="1"/>
  <c r="C915" i="1"/>
  <c r="C747" i="1"/>
  <c r="C648" i="1"/>
  <c r="C602" i="1"/>
  <c r="C554" i="1"/>
  <c r="C509" i="1"/>
  <c r="C433" i="1"/>
  <c r="C363" i="1"/>
  <c r="C291" i="1"/>
  <c r="C219" i="1"/>
  <c r="C139" i="1"/>
  <c r="C74" i="1"/>
  <c r="C47" i="1"/>
  <c r="C28" i="1"/>
  <c r="C17" i="1"/>
  <c r="C932" i="1"/>
  <c r="C812" i="1"/>
  <c r="C764" i="1"/>
  <c r="C701" i="1"/>
  <c r="C665" i="1"/>
  <c r="C619" i="1"/>
  <c r="C571" i="1"/>
  <c r="C526" i="1"/>
  <c r="C428" i="1"/>
  <c r="C380" i="1"/>
  <c r="C308" i="1"/>
  <c r="C260" i="1"/>
  <c r="C193" i="1"/>
  <c r="C138" i="1"/>
  <c r="C73" i="1"/>
  <c r="C46" i="1"/>
  <c r="C27" i="1"/>
  <c r="C16" i="1"/>
  <c r="C907" i="1"/>
  <c r="C811" i="1"/>
  <c r="C739" i="1"/>
  <c r="C664" i="1"/>
  <c r="C594" i="1"/>
  <c r="C546" i="1"/>
  <c r="C403" i="1"/>
  <c r="C331" i="1"/>
  <c r="C259" i="1"/>
  <c r="C192" i="1"/>
  <c r="C116" i="1"/>
  <c r="C67" i="1"/>
  <c r="C26" i="1"/>
  <c r="C15" i="1"/>
  <c r="C954" i="1"/>
  <c r="C858" i="1"/>
  <c r="C786" i="1"/>
  <c r="C700" i="1"/>
  <c r="C593" i="1"/>
  <c r="C500" i="1"/>
  <c r="C402" i="1"/>
  <c r="C330" i="1"/>
  <c r="C258" i="1"/>
  <c r="C215" i="1"/>
  <c r="C130" i="1"/>
  <c r="C953" i="1"/>
  <c r="C857" i="1"/>
  <c r="C761" i="1"/>
  <c r="C662" i="1"/>
  <c r="C568" i="1"/>
  <c r="C401" i="1"/>
  <c r="C281" i="1"/>
  <c r="C190" i="1"/>
  <c r="C109" i="1"/>
  <c r="C60" i="1"/>
  <c r="C952" i="1"/>
  <c r="C856" i="1"/>
  <c r="C760" i="1"/>
  <c r="C685" i="1"/>
  <c r="C615" i="1"/>
  <c r="C543" i="1"/>
  <c r="C376" i="1"/>
  <c r="C304" i="1"/>
  <c r="C213" i="1"/>
  <c r="C128" i="1"/>
  <c r="C7" i="1"/>
  <c r="C927" i="1"/>
  <c r="C967" i="1"/>
  <c r="C943" i="1"/>
  <c r="C919" i="1"/>
  <c r="C895" i="1"/>
  <c r="C871" i="1"/>
  <c r="C847" i="1"/>
  <c r="C823" i="1"/>
  <c r="C799" i="1"/>
  <c r="C775" i="1"/>
  <c r="C751" i="1"/>
  <c r="C727" i="1"/>
  <c r="C676" i="1"/>
  <c r="C652" i="1"/>
  <c r="C630" i="1"/>
  <c r="C606" i="1"/>
  <c r="C582" i="1"/>
  <c r="C558" i="1"/>
  <c r="C534" i="1"/>
  <c r="C513" i="1"/>
  <c r="C489" i="1"/>
  <c r="C468" i="1"/>
  <c r="C460" i="1"/>
  <c r="C437" i="1"/>
  <c r="C415" i="1"/>
  <c r="C391" i="1"/>
  <c r="C367" i="1"/>
  <c r="C343" i="1"/>
  <c r="C319" i="1"/>
  <c r="C295" i="1"/>
  <c r="C271" i="1"/>
  <c r="C247" i="1"/>
  <c r="C223" i="1"/>
  <c r="C204" i="1"/>
  <c r="C164" i="1"/>
  <c r="C143" i="1"/>
  <c r="C120" i="1"/>
  <c r="C105" i="1"/>
  <c r="C83" i="1"/>
  <c r="C56" i="1"/>
  <c r="C34" i="1"/>
  <c r="C4" i="1"/>
  <c r="C939" i="1"/>
  <c r="C387" i="1"/>
  <c r="C315" i="1"/>
  <c r="C243" i="1"/>
  <c r="C118" i="1"/>
  <c r="C908" i="1"/>
  <c r="C332" i="1"/>
  <c r="C236" i="1"/>
  <c r="C177" i="1"/>
  <c r="C117" i="1"/>
  <c r="C955" i="1"/>
  <c r="C859" i="1"/>
  <c r="C787" i="1"/>
  <c r="C642" i="1"/>
  <c r="C525" i="1"/>
  <c r="C481" i="1"/>
  <c r="C427" i="1"/>
  <c r="C355" i="1"/>
  <c r="C283" i="1"/>
  <c r="C216" i="1"/>
  <c r="C154" i="1"/>
  <c r="C131" i="1"/>
  <c r="C72" i="1"/>
  <c r="C882" i="1"/>
  <c r="C810" i="1"/>
  <c r="C663" i="1"/>
  <c r="C545" i="1"/>
  <c r="C480" i="1"/>
  <c r="C447" i="1"/>
  <c r="C354" i="1"/>
  <c r="C234" i="1"/>
  <c r="C153" i="1"/>
  <c r="C93" i="1"/>
  <c r="C44" i="1"/>
  <c r="C881" i="1"/>
  <c r="C785" i="1"/>
  <c r="C699" i="1"/>
  <c r="C616" i="1"/>
  <c r="C499" i="1"/>
  <c r="C425" i="1"/>
  <c r="C329" i="1"/>
  <c r="C257" i="1"/>
  <c r="C174" i="1"/>
  <c r="C92" i="1"/>
  <c r="C43" i="1"/>
  <c r="C24" i="1"/>
  <c r="C904" i="1"/>
  <c r="C832" i="1"/>
  <c r="C736" i="1"/>
  <c r="C639" i="1"/>
  <c r="C424" i="1"/>
  <c r="C328" i="1"/>
  <c r="C232" i="1"/>
  <c r="C151" i="1"/>
  <c r="C86" i="1"/>
  <c r="C42" i="1"/>
  <c r="C879" i="1"/>
  <c r="C855" i="1"/>
  <c r="C966" i="1"/>
  <c r="C942" i="1"/>
  <c r="C918" i="1"/>
  <c r="C894" i="1"/>
  <c r="C870" i="1"/>
  <c r="C846" i="1"/>
  <c r="C822" i="1"/>
  <c r="C798" i="1"/>
  <c r="C774" i="1"/>
  <c r="C750" i="1"/>
  <c r="C726" i="1"/>
  <c r="C675" i="1"/>
  <c r="C651" i="1"/>
  <c r="C629" i="1"/>
  <c r="C605" i="1"/>
  <c r="C581" i="1"/>
  <c r="C557" i="1"/>
  <c r="C533" i="1"/>
  <c r="C512" i="1"/>
  <c r="C488" i="1"/>
  <c r="C467" i="1"/>
  <c r="C459" i="1"/>
  <c r="C436" i="1"/>
  <c r="C414" i="1"/>
  <c r="C390" i="1"/>
  <c r="C366" i="1"/>
  <c r="C342" i="1"/>
  <c r="C318" i="1"/>
  <c r="C294" i="1"/>
  <c r="C270" i="1"/>
  <c r="C246" i="1"/>
  <c r="C222" i="1"/>
  <c r="C203" i="1"/>
  <c r="C163" i="1"/>
  <c r="C142" i="1"/>
  <c r="C119" i="1"/>
  <c r="C104" i="1"/>
  <c r="C82" i="1"/>
  <c r="C55" i="1"/>
  <c r="C33" i="1"/>
  <c r="C3" i="1"/>
  <c r="C867" i="1"/>
  <c r="C884" i="1"/>
  <c r="C965" i="1"/>
  <c r="C941" i="1"/>
  <c r="C917" i="1"/>
  <c r="C893" i="1"/>
  <c r="C869" i="1"/>
  <c r="C845" i="1"/>
  <c r="C821" i="1"/>
  <c r="C797" i="1"/>
  <c r="C773" i="1"/>
  <c r="C749" i="1"/>
  <c r="C710" i="1"/>
  <c r="C674" i="1"/>
  <c r="C650" i="1"/>
  <c r="C628" i="1"/>
  <c r="C604" i="1"/>
  <c r="C580" i="1"/>
  <c r="C556" i="1"/>
  <c r="C532" i="1"/>
  <c r="C511" i="1"/>
  <c r="C487" i="1"/>
  <c r="C466" i="1"/>
  <c r="C458" i="1"/>
  <c r="C435" i="1"/>
  <c r="C413" i="1"/>
  <c r="C389" i="1"/>
  <c r="C365" i="1"/>
  <c r="C341" i="1"/>
  <c r="C317" i="1"/>
  <c r="C293" i="1"/>
  <c r="C269" i="1"/>
  <c r="C245" i="1"/>
  <c r="C221" i="1"/>
  <c r="C202" i="1"/>
  <c r="C162" i="1"/>
  <c r="C141" i="1"/>
  <c r="C98" i="1"/>
  <c r="C81" i="1"/>
  <c r="C71" i="1"/>
  <c r="C54" i="1"/>
  <c r="C32" i="1"/>
  <c r="C30" i="1"/>
  <c r="C2" i="1"/>
  <c r="C963" i="1"/>
  <c r="C843" i="1"/>
  <c r="C819" i="1"/>
  <c r="C795" i="1"/>
  <c r="C771" i="1"/>
  <c r="C708" i="1"/>
  <c r="C672" i="1"/>
  <c r="C626" i="1"/>
  <c r="C578" i="1"/>
  <c r="C456" i="1"/>
  <c r="C411" i="1"/>
  <c r="C339" i="1"/>
  <c r="C267" i="1"/>
  <c r="C200" i="1"/>
  <c r="C96" i="1"/>
  <c r="C69" i="1"/>
  <c r="C956" i="1"/>
  <c r="C836" i="1"/>
  <c r="C788" i="1"/>
  <c r="C740" i="1"/>
  <c r="C689" i="1"/>
  <c r="C643" i="1"/>
  <c r="C595" i="1"/>
  <c r="C547" i="1"/>
  <c r="C502" i="1"/>
  <c r="C482" i="1"/>
  <c r="C449" i="1"/>
  <c r="C404" i="1"/>
  <c r="C356" i="1"/>
  <c r="C284" i="1"/>
  <c r="C217" i="1"/>
  <c r="C155" i="1"/>
  <c r="C95" i="1"/>
  <c r="C68" i="1"/>
  <c r="C931" i="1"/>
  <c r="C835" i="1"/>
  <c r="C763" i="1"/>
  <c r="C688" i="1"/>
  <c r="C618" i="1"/>
  <c r="C570" i="1"/>
  <c r="C501" i="1"/>
  <c r="C448" i="1"/>
  <c r="C379" i="1"/>
  <c r="C307" i="1"/>
  <c r="C235" i="1"/>
  <c r="C176" i="1"/>
  <c r="C94" i="1"/>
  <c r="C930" i="1"/>
  <c r="C834" i="1"/>
  <c r="C762" i="1"/>
  <c r="C687" i="1"/>
  <c r="C617" i="1"/>
  <c r="C524" i="1"/>
  <c r="C426" i="1"/>
  <c r="C378" i="1"/>
  <c r="C282" i="1"/>
  <c r="C175" i="1"/>
  <c r="C14" i="1"/>
  <c r="C929" i="1"/>
  <c r="C833" i="1"/>
  <c r="C737" i="1"/>
  <c r="C640" i="1"/>
  <c r="C544" i="1"/>
  <c r="C479" i="1"/>
  <c r="C446" i="1"/>
  <c r="C377" i="1"/>
  <c r="C305" i="1"/>
  <c r="C214" i="1"/>
  <c r="C129" i="1"/>
  <c r="C8" i="1"/>
  <c r="C928" i="1"/>
  <c r="C808" i="1"/>
  <c r="C698" i="1"/>
  <c r="C591" i="1"/>
  <c r="C522" i="1"/>
  <c r="C478" i="1"/>
  <c r="C445" i="1"/>
  <c r="C352" i="1"/>
  <c r="C280" i="1"/>
  <c r="C189" i="1"/>
  <c r="C108" i="1"/>
  <c r="C59" i="1"/>
  <c r="C951" i="1"/>
  <c r="C831" i="1"/>
  <c r="C964" i="1"/>
  <c r="C940" i="1"/>
  <c r="C916" i="1"/>
  <c r="C892" i="1"/>
  <c r="C868" i="1"/>
  <c r="C844" i="1"/>
  <c r="C820" i="1"/>
  <c r="C796" i="1"/>
  <c r="C772" i="1"/>
  <c r="C748" i="1"/>
  <c r="C709" i="1"/>
  <c r="C673" i="1"/>
  <c r="C649" i="1"/>
  <c r="C627" i="1"/>
  <c r="C603" i="1"/>
  <c r="C579" i="1"/>
  <c r="C555" i="1"/>
  <c r="C510" i="1"/>
  <c r="C486" i="1"/>
  <c r="C457" i="1"/>
  <c r="C434" i="1"/>
  <c r="C412" i="1"/>
  <c r="C388" i="1"/>
  <c r="C364" i="1"/>
  <c r="C340" i="1"/>
  <c r="C316" i="1"/>
  <c r="C292" i="1"/>
  <c r="C268" i="1"/>
  <c r="C244" i="1"/>
  <c r="C220" i="1"/>
  <c r="C201" i="1"/>
  <c r="C161" i="1"/>
  <c r="C140" i="1"/>
  <c r="C97" i="1"/>
  <c r="C80" i="1"/>
  <c r="C70" i="1"/>
  <c r="C48" i="1"/>
  <c r="C29" i="1"/>
  <c r="C891" i="1"/>
  <c r="C860" i="1"/>
  <c r="C45" i="1"/>
  <c r="C523" i="1"/>
  <c r="C883" i="1"/>
  <c r="C906" i="1"/>
  <c r="C738" i="1"/>
  <c r="C641" i="1"/>
  <c r="C569" i="1"/>
  <c r="C306" i="1"/>
  <c r="C191" i="1"/>
  <c r="C110" i="1"/>
  <c r="C66" i="1"/>
  <c r="C25" i="1"/>
  <c r="C905" i="1"/>
  <c r="C809" i="1"/>
  <c r="C686" i="1"/>
  <c r="C592" i="1"/>
  <c r="C353" i="1"/>
  <c r="C233" i="1"/>
  <c r="C152" i="1"/>
  <c r="C880" i="1"/>
  <c r="C784" i="1"/>
  <c r="C661" i="1"/>
  <c r="C567" i="1"/>
  <c r="C498" i="1"/>
  <c r="C400" i="1"/>
  <c r="C256" i="1"/>
  <c r="C173" i="1"/>
  <c r="C19" i="1"/>
  <c r="C903" i="1"/>
  <c r="C807" i="1"/>
  <c r="C783" i="1"/>
  <c r="C497" i="1"/>
  <c r="C303" i="1"/>
  <c r="C172" i="1"/>
  <c r="C127" i="1"/>
  <c r="C759" i="1"/>
  <c r="C279" i="1"/>
  <c r="C58" i="1"/>
  <c r="C85" i="1"/>
  <c r="C735" i="1"/>
  <c r="C477" i="1"/>
  <c r="C255" i="1"/>
  <c r="C36" i="1"/>
  <c r="C6" i="1"/>
  <c r="C697" i="1"/>
  <c r="C231" i="1"/>
  <c r="C444" i="1"/>
  <c r="C423" i="1"/>
  <c r="C18" i="1"/>
  <c r="C399" i="1"/>
  <c r="C375" i="1"/>
  <c r="C542" i="1"/>
  <c r="C327" i="1"/>
  <c r="C684" i="1"/>
  <c r="C212" i="1"/>
  <c r="C660" i="1"/>
  <c r="C188" i="1"/>
  <c r="C638" i="1"/>
  <c r="C614" i="1"/>
  <c r="C150" i="1"/>
  <c r="C590" i="1"/>
  <c r="C566" i="1"/>
  <c r="C351" i="1"/>
  <c r="C521" i="1"/>
  <c r="C107" i="1"/>
  <c r="B2" i="1"/>
  <c r="B14" i="1"/>
  <c r="B24" i="1"/>
  <c r="B42" i="1"/>
  <c r="B54" i="1"/>
  <c r="B66" i="1"/>
  <c r="B80" i="1"/>
  <c r="B92" i="1"/>
  <c r="B104" i="1"/>
  <c r="B116" i="1"/>
  <c r="B126" i="1"/>
  <c r="B138" i="1"/>
  <c r="B150" i="1"/>
  <c r="B172" i="1"/>
  <c r="B188" i="1"/>
  <c r="B200" i="1"/>
  <c r="B212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3" i="1"/>
  <c r="B444" i="1"/>
  <c r="B456" i="1"/>
  <c r="B477" i="1"/>
  <c r="B497" i="1"/>
  <c r="B509" i="1"/>
  <c r="B521" i="1"/>
  <c r="B542" i="1"/>
  <c r="B554" i="1"/>
  <c r="B566" i="1"/>
  <c r="B578" i="1"/>
  <c r="B590" i="1"/>
  <c r="B602" i="1"/>
  <c r="B614" i="1"/>
  <c r="B626" i="1"/>
  <c r="B638" i="1"/>
  <c r="B648" i="1"/>
  <c r="B660" i="1"/>
  <c r="B672" i="1"/>
  <c r="B684" i="1"/>
  <c r="B697" i="1"/>
  <c r="B708" i="1"/>
  <c r="B732" i="1"/>
  <c r="B744" i="1"/>
  <c r="B756" i="1"/>
  <c r="B768" i="1"/>
  <c r="B780" i="1"/>
  <c r="B792" i="1"/>
  <c r="B804" i="1"/>
  <c r="B816" i="1"/>
  <c r="B828" i="1"/>
  <c r="B840" i="1"/>
  <c r="B852" i="1"/>
  <c r="B864" i="1"/>
  <c r="B876" i="1"/>
  <c r="B888" i="1"/>
  <c r="B900" i="1"/>
  <c r="B912" i="1"/>
  <c r="B924" i="1"/>
  <c r="B936" i="1"/>
  <c r="B948" i="1"/>
  <c r="B960" i="1"/>
  <c r="B972" i="1"/>
  <c r="B403" i="1"/>
  <c r="B460" i="1"/>
  <c r="B3" i="1"/>
  <c r="B15" i="1"/>
  <c r="B25" i="1"/>
  <c r="B43" i="1"/>
  <c r="B55" i="1"/>
  <c r="B67" i="1"/>
  <c r="B81" i="1"/>
  <c r="B93" i="1"/>
  <c r="B105" i="1"/>
  <c r="B117" i="1"/>
  <c r="B127" i="1"/>
  <c r="B139" i="1"/>
  <c r="B151" i="1"/>
  <c r="B161" i="1"/>
  <c r="B173" i="1"/>
  <c r="B189" i="1"/>
  <c r="B201" i="1"/>
  <c r="B213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4" i="1"/>
  <c r="B445" i="1"/>
  <c r="B457" i="1"/>
  <c r="B478" i="1"/>
  <c r="B486" i="1"/>
  <c r="B498" i="1"/>
  <c r="B510" i="1"/>
  <c r="B522" i="1"/>
  <c r="B543" i="1"/>
  <c r="B555" i="1"/>
  <c r="B567" i="1"/>
  <c r="B579" i="1"/>
  <c r="B591" i="1"/>
  <c r="B603" i="1"/>
  <c r="B615" i="1"/>
  <c r="B627" i="1"/>
  <c r="B639" i="1"/>
  <c r="B649" i="1"/>
  <c r="B661" i="1"/>
  <c r="B673" i="1"/>
  <c r="B685" i="1"/>
  <c r="B698" i="1"/>
  <c r="B709" i="1"/>
  <c r="B733" i="1"/>
  <c r="B745" i="1"/>
  <c r="B757" i="1"/>
  <c r="B769" i="1"/>
  <c r="B781" i="1"/>
  <c r="B793" i="1"/>
  <c r="B805" i="1"/>
  <c r="B817" i="1"/>
  <c r="B829" i="1"/>
  <c r="B841" i="1"/>
  <c r="B853" i="1"/>
  <c r="B865" i="1"/>
  <c r="B877" i="1"/>
  <c r="B889" i="1"/>
  <c r="B901" i="1"/>
  <c r="B913" i="1"/>
  <c r="B925" i="1"/>
  <c r="B937" i="1"/>
  <c r="B949" i="1"/>
  <c r="B961" i="1"/>
  <c r="B973" i="1"/>
  <c r="B4" i="1"/>
  <c r="B16" i="1"/>
  <c r="B18" i="1"/>
  <c r="B26" i="1"/>
  <c r="B32" i="1"/>
  <c r="B44" i="1"/>
  <c r="B56" i="1"/>
  <c r="B68" i="1"/>
  <c r="B82" i="1"/>
  <c r="B94" i="1"/>
  <c r="B106" i="1"/>
  <c r="B118" i="1"/>
  <c r="B128" i="1"/>
  <c r="B140" i="1"/>
  <c r="B152" i="1"/>
  <c r="B162" i="1"/>
  <c r="B174" i="1"/>
  <c r="B190" i="1"/>
  <c r="B202" i="1"/>
  <c r="B214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5" i="1"/>
  <c r="B446" i="1"/>
  <c r="B458" i="1"/>
  <c r="B466" i="1"/>
  <c r="B479" i="1"/>
  <c r="B487" i="1"/>
  <c r="B499" i="1"/>
  <c r="B511" i="1"/>
  <c r="B523" i="1"/>
  <c r="B532" i="1"/>
  <c r="B544" i="1"/>
  <c r="B556" i="1"/>
  <c r="B568" i="1"/>
  <c r="B580" i="1"/>
  <c r="B592" i="1"/>
  <c r="B604" i="1"/>
  <c r="B616" i="1"/>
  <c r="B628" i="1"/>
  <c r="B640" i="1"/>
  <c r="B650" i="1"/>
  <c r="B662" i="1"/>
  <c r="B674" i="1"/>
  <c r="B686" i="1"/>
  <c r="B699" i="1"/>
  <c r="B710" i="1"/>
  <c r="B734" i="1"/>
  <c r="B746" i="1"/>
  <c r="B758" i="1"/>
  <c r="B770" i="1"/>
  <c r="B782" i="1"/>
  <c r="B794" i="1"/>
  <c r="B806" i="1"/>
  <c r="B818" i="1"/>
  <c r="B830" i="1"/>
  <c r="B842" i="1"/>
  <c r="B854" i="1"/>
  <c r="B866" i="1"/>
  <c r="B878" i="1"/>
  <c r="B890" i="1"/>
  <c r="B902" i="1"/>
  <c r="B914" i="1"/>
  <c r="B926" i="1"/>
  <c r="B938" i="1"/>
  <c r="B950" i="1"/>
  <c r="B962" i="1"/>
  <c r="B974" i="1"/>
  <c r="B28" i="1"/>
  <c r="B58" i="1"/>
  <c r="B72" i="1"/>
  <c r="B84" i="1"/>
  <c r="B108" i="1"/>
  <c r="B130" i="1"/>
  <c r="B154" i="1"/>
  <c r="B176" i="1"/>
  <c r="B192" i="1"/>
  <c r="B223" i="1"/>
  <c r="B247" i="1"/>
  <c r="B271" i="1"/>
  <c r="B295" i="1"/>
  <c r="B319" i="1"/>
  <c r="B343" i="1"/>
  <c r="B367" i="1"/>
  <c r="B391" i="1"/>
  <c r="B427" i="1"/>
  <c r="B448" i="1"/>
  <c r="B468" i="1"/>
  <c r="B5" i="1"/>
  <c r="B17" i="1"/>
  <c r="B19" i="1"/>
  <c r="B27" i="1"/>
  <c r="B33" i="1"/>
  <c r="B45" i="1"/>
  <c r="B57" i="1"/>
  <c r="B69" i="1"/>
  <c r="B83" i="1"/>
  <c r="B95" i="1"/>
  <c r="B107" i="1"/>
  <c r="B129" i="1"/>
  <c r="B141" i="1"/>
  <c r="B153" i="1"/>
  <c r="B163" i="1"/>
  <c r="B175" i="1"/>
  <c r="B191" i="1"/>
  <c r="B203" i="1"/>
  <c r="B215" i="1"/>
  <c r="B222" i="1"/>
  <c r="B234" i="1"/>
  <c r="B246" i="1"/>
  <c r="B258" i="1"/>
  <c r="B270" i="1"/>
  <c r="B282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6" i="1"/>
  <c r="B447" i="1"/>
  <c r="B459" i="1"/>
  <c r="B467" i="1"/>
  <c r="B480" i="1"/>
  <c r="B488" i="1"/>
  <c r="B500" i="1"/>
  <c r="B512" i="1"/>
  <c r="B524" i="1"/>
  <c r="B533" i="1"/>
  <c r="B545" i="1"/>
  <c r="B557" i="1"/>
  <c r="B569" i="1"/>
  <c r="B581" i="1"/>
  <c r="B593" i="1"/>
  <c r="B605" i="1"/>
  <c r="B617" i="1"/>
  <c r="B629" i="1"/>
  <c r="B641" i="1"/>
  <c r="B651" i="1"/>
  <c r="B663" i="1"/>
  <c r="B675" i="1"/>
  <c r="B687" i="1"/>
  <c r="B700" i="1"/>
  <c r="B735" i="1"/>
  <c r="B747" i="1"/>
  <c r="B759" i="1"/>
  <c r="B771" i="1"/>
  <c r="B783" i="1"/>
  <c r="B795" i="1"/>
  <c r="B807" i="1"/>
  <c r="B819" i="1"/>
  <c r="B831" i="1"/>
  <c r="B843" i="1"/>
  <c r="B855" i="1"/>
  <c r="B867" i="1"/>
  <c r="B879" i="1"/>
  <c r="B891" i="1"/>
  <c r="B903" i="1"/>
  <c r="B915" i="1"/>
  <c r="B927" i="1"/>
  <c r="B939" i="1"/>
  <c r="B951" i="1"/>
  <c r="B963" i="1"/>
  <c r="B6" i="1"/>
  <c r="B46" i="1"/>
  <c r="B70" i="1"/>
  <c r="B96" i="1"/>
  <c r="B142" i="1"/>
  <c r="B164" i="1"/>
  <c r="B204" i="1"/>
  <c r="B216" i="1"/>
  <c r="B235" i="1"/>
  <c r="B259" i="1"/>
  <c r="B283" i="1"/>
  <c r="B307" i="1"/>
  <c r="B331" i="1"/>
  <c r="B355" i="1"/>
  <c r="B379" i="1"/>
  <c r="B415" i="1"/>
  <c r="B437" i="1"/>
  <c r="B7" i="1"/>
  <c r="B36" i="1"/>
  <c r="B53" i="1"/>
  <c r="B85" i="1"/>
  <c r="B102" i="1"/>
  <c r="B122" i="1"/>
  <c r="B144" i="1"/>
  <c r="B160" i="1"/>
  <c r="B181" i="1"/>
  <c r="B195" i="1"/>
  <c r="B217" i="1"/>
  <c r="B229" i="1"/>
  <c r="B251" i="1"/>
  <c r="B273" i="1"/>
  <c r="B290" i="1"/>
  <c r="B312" i="1"/>
  <c r="B334" i="1"/>
  <c r="B356" i="1"/>
  <c r="B373" i="1"/>
  <c r="B395" i="1"/>
  <c r="B417" i="1"/>
  <c r="B432" i="1"/>
  <c r="B453" i="1"/>
  <c r="B475" i="1"/>
  <c r="B484" i="1"/>
  <c r="B492" i="1"/>
  <c r="B508" i="1"/>
  <c r="B528" i="1"/>
  <c r="B541" i="1"/>
  <c r="B561" i="1"/>
  <c r="B577" i="1"/>
  <c r="B597" i="1"/>
  <c r="B613" i="1"/>
  <c r="B633" i="1"/>
  <c r="B647" i="1"/>
  <c r="B667" i="1"/>
  <c r="B683" i="1"/>
  <c r="B707" i="1"/>
  <c r="B727" i="1"/>
  <c r="B743" i="1"/>
  <c r="B763" i="1"/>
  <c r="B779" i="1"/>
  <c r="B799" i="1"/>
  <c r="B815" i="1"/>
  <c r="B835" i="1"/>
  <c r="B851" i="1"/>
  <c r="B871" i="1"/>
  <c r="B887" i="1"/>
  <c r="B907" i="1"/>
  <c r="B923" i="1"/>
  <c r="B943" i="1"/>
  <c r="B959" i="1"/>
  <c r="B421" i="1"/>
  <c r="B496" i="1"/>
  <c r="B565" i="1"/>
  <c r="B621" i="1"/>
  <c r="B655" i="1"/>
  <c r="B696" i="1"/>
  <c r="B751" i="1"/>
  <c r="B803" i="1"/>
  <c r="B859" i="1"/>
  <c r="B911" i="1"/>
  <c r="B967" i="1"/>
  <c r="B12" i="1"/>
  <c r="B41" i="1"/>
  <c r="B90" i="1"/>
  <c r="B132" i="1"/>
  <c r="B169" i="1"/>
  <c r="B205" i="1"/>
  <c r="B239" i="1"/>
  <c r="B278" i="1"/>
  <c r="B322" i="1"/>
  <c r="B361" i="1"/>
  <c r="B405" i="1"/>
  <c r="B501" i="1"/>
  <c r="B534" i="1"/>
  <c r="B586" i="1"/>
  <c r="B642" i="1"/>
  <c r="B692" i="1"/>
  <c r="B752" i="1"/>
  <c r="B772" i="1"/>
  <c r="B808" i="1"/>
  <c r="B860" i="1"/>
  <c r="B916" i="1"/>
  <c r="B968" i="1"/>
  <c r="B13" i="1"/>
  <c r="B29" i="1"/>
  <c r="B47" i="1"/>
  <c r="B74" i="1"/>
  <c r="B113" i="1"/>
  <c r="B155" i="1"/>
  <c r="B184" i="1"/>
  <c r="B218" i="1"/>
  <c r="B262" i="1"/>
  <c r="B301" i="1"/>
  <c r="B345" i="1"/>
  <c r="B384" i="1"/>
  <c r="B428" i="1"/>
  <c r="B464" i="1"/>
  <c r="B518" i="1"/>
  <c r="B551" i="1"/>
  <c r="B607" i="1"/>
  <c r="B643" i="1"/>
  <c r="B8" i="1"/>
  <c r="B37" i="1"/>
  <c r="B59" i="1"/>
  <c r="B86" i="1"/>
  <c r="B103" i="1"/>
  <c r="B123" i="1"/>
  <c r="B145" i="1"/>
  <c r="B165" i="1"/>
  <c r="B196" i="1"/>
  <c r="B230" i="1"/>
  <c r="B252" i="1"/>
  <c r="B274" i="1"/>
  <c r="B296" i="1"/>
  <c r="B313" i="1"/>
  <c r="B335" i="1"/>
  <c r="B357" i="1"/>
  <c r="B374" i="1"/>
  <c r="B396" i="1"/>
  <c r="B418" i="1"/>
  <c r="B438" i="1"/>
  <c r="B454" i="1"/>
  <c r="B485" i="1"/>
  <c r="B493" i="1"/>
  <c r="B513" i="1"/>
  <c r="B529" i="1"/>
  <c r="B546" i="1"/>
  <c r="B562" i="1"/>
  <c r="B582" i="1"/>
  <c r="B598" i="1"/>
  <c r="B618" i="1"/>
  <c r="B634" i="1"/>
  <c r="B652" i="1"/>
  <c r="B668" i="1"/>
  <c r="B688" i="1"/>
  <c r="B728" i="1"/>
  <c r="B748" i="1"/>
  <c r="B764" i="1"/>
  <c r="B784" i="1"/>
  <c r="B800" i="1"/>
  <c r="B820" i="1"/>
  <c r="B836" i="1"/>
  <c r="B856" i="1"/>
  <c r="B872" i="1"/>
  <c r="B892" i="1"/>
  <c r="B908" i="1"/>
  <c r="B928" i="1"/>
  <c r="B944" i="1"/>
  <c r="B964" i="1"/>
  <c r="B22" i="1"/>
  <c r="B606" i="1"/>
  <c r="B9" i="1"/>
  <c r="B20" i="1"/>
  <c r="B38" i="1"/>
  <c r="B60" i="1"/>
  <c r="B87" i="1"/>
  <c r="B109" i="1"/>
  <c r="B124" i="1"/>
  <c r="B146" i="1"/>
  <c r="B166" i="1"/>
  <c r="B197" i="1"/>
  <c r="B236" i="1"/>
  <c r="B253" i="1"/>
  <c r="B275" i="1"/>
  <c r="B297" i="1"/>
  <c r="B314" i="1"/>
  <c r="B336" i="1"/>
  <c r="B358" i="1"/>
  <c r="B380" i="1"/>
  <c r="B397" i="1"/>
  <c r="B419" i="1"/>
  <c r="B439" i="1"/>
  <c r="B455" i="1"/>
  <c r="B494" i="1"/>
  <c r="B514" i="1"/>
  <c r="B530" i="1"/>
  <c r="B547" i="1"/>
  <c r="B563" i="1"/>
  <c r="B583" i="1"/>
  <c r="B599" i="1"/>
  <c r="B619" i="1"/>
  <c r="B635" i="1"/>
  <c r="B653" i="1"/>
  <c r="B669" i="1"/>
  <c r="B689" i="1"/>
  <c r="B694" i="1"/>
  <c r="B729" i="1"/>
  <c r="B749" i="1"/>
  <c r="B765" i="1"/>
  <c r="B785" i="1"/>
  <c r="B801" i="1"/>
  <c r="B821" i="1"/>
  <c r="B837" i="1"/>
  <c r="B857" i="1"/>
  <c r="B873" i="1"/>
  <c r="B893" i="1"/>
  <c r="B909" i="1"/>
  <c r="B929" i="1"/>
  <c r="B945" i="1"/>
  <c r="B965" i="1"/>
  <c r="B260" i="1"/>
  <c r="B299" i="1"/>
  <c r="B338" i="1"/>
  <c r="B382" i="1"/>
  <c r="B441" i="1"/>
  <c r="B585" i="1"/>
  <c r="B637" i="1"/>
  <c r="B691" i="1"/>
  <c r="B731" i="1"/>
  <c r="B787" i="1"/>
  <c r="B839" i="1"/>
  <c r="B895" i="1"/>
  <c r="B947" i="1"/>
  <c r="B550" i="1"/>
  <c r="B676" i="1"/>
  <c r="B824" i="1"/>
  <c r="B880" i="1"/>
  <c r="B932" i="1"/>
  <c r="B587" i="1"/>
  <c r="B677" i="1"/>
  <c r="B10" i="1"/>
  <c r="B21" i="1"/>
  <c r="B39" i="1"/>
  <c r="B61" i="1"/>
  <c r="B88" i="1"/>
  <c r="B110" i="1"/>
  <c r="B125" i="1"/>
  <c r="B147" i="1"/>
  <c r="B167" i="1"/>
  <c r="B198" i="1"/>
  <c r="B237" i="1"/>
  <c r="B254" i="1"/>
  <c r="B276" i="1"/>
  <c r="B298" i="1"/>
  <c r="B320" i="1"/>
  <c r="B337" i="1"/>
  <c r="B359" i="1"/>
  <c r="B381" i="1"/>
  <c r="B398" i="1"/>
  <c r="B420" i="1"/>
  <c r="B440" i="1"/>
  <c r="B461" i="1"/>
  <c r="B495" i="1"/>
  <c r="B515" i="1"/>
  <c r="B531" i="1"/>
  <c r="B548" i="1"/>
  <c r="B564" i="1"/>
  <c r="B584" i="1"/>
  <c r="B600" i="1"/>
  <c r="B620" i="1"/>
  <c r="B636" i="1"/>
  <c r="B654" i="1"/>
  <c r="B670" i="1"/>
  <c r="B690" i="1"/>
  <c r="B695" i="1"/>
  <c r="B730" i="1"/>
  <c r="B750" i="1"/>
  <c r="B766" i="1"/>
  <c r="B786" i="1"/>
  <c r="B802" i="1"/>
  <c r="B822" i="1"/>
  <c r="B838" i="1"/>
  <c r="B858" i="1"/>
  <c r="B874" i="1"/>
  <c r="B894" i="1"/>
  <c r="B910" i="1"/>
  <c r="B930" i="1"/>
  <c r="B946" i="1"/>
  <c r="B966" i="1"/>
  <c r="B11" i="1"/>
  <c r="B40" i="1"/>
  <c r="B62" i="1"/>
  <c r="B89" i="1"/>
  <c r="B111" i="1"/>
  <c r="B131" i="1"/>
  <c r="B148" i="1"/>
  <c r="B168" i="1"/>
  <c r="B182" i="1"/>
  <c r="B199" i="1"/>
  <c r="B238" i="1"/>
  <c r="B277" i="1"/>
  <c r="B321" i="1"/>
  <c r="B360" i="1"/>
  <c r="B404" i="1"/>
  <c r="B462" i="1"/>
  <c r="B516" i="1"/>
  <c r="B549" i="1"/>
  <c r="B601" i="1"/>
  <c r="B671" i="1"/>
  <c r="B767" i="1"/>
  <c r="B823" i="1"/>
  <c r="B875" i="1"/>
  <c r="B931" i="1"/>
  <c r="B23" i="1"/>
  <c r="B63" i="1"/>
  <c r="B73" i="1"/>
  <c r="B112" i="1"/>
  <c r="B149" i="1"/>
  <c r="B183" i="1"/>
  <c r="B261" i="1"/>
  <c r="B300" i="1"/>
  <c r="B344" i="1"/>
  <c r="B383" i="1"/>
  <c r="B422" i="1"/>
  <c r="B463" i="1"/>
  <c r="B517" i="1"/>
  <c r="B570" i="1"/>
  <c r="B622" i="1"/>
  <c r="B656" i="1"/>
  <c r="B736" i="1"/>
  <c r="B788" i="1"/>
  <c r="B844" i="1"/>
  <c r="B896" i="1"/>
  <c r="B952" i="1"/>
  <c r="B64" i="1"/>
  <c r="B91" i="1"/>
  <c r="B133" i="1"/>
  <c r="B170" i="1"/>
  <c r="B206" i="1"/>
  <c r="B240" i="1"/>
  <c r="B284" i="1"/>
  <c r="B323" i="1"/>
  <c r="B362" i="1"/>
  <c r="B406" i="1"/>
  <c r="B442" i="1"/>
  <c r="B469" i="1"/>
  <c r="B502" i="1"/>
  <c r="B535" i="1"/>
  <c r="B571" i="1"/>
  <c r="B623" i="1"/>
  <c r="B657" i="1"/>
  <c r="B71" i="1"/>
  <c r="B78" i="1"/>
  <c r="B134" i="1"/>
  <c r="B178" i="1"/>
  <c r="B211" i="1"/>
  <c r="B264" i="1"/>
  <c r="B310" i="1"/>
  <c r="B368" i="1"/>
  <c r="B409" i="1"/>
  <c r="B452" i="1"/>
  <c r="B482" i="1"/>
  <c r="B503" i="1"/>
  <c r="B538" i="1"/>
  <c r="B576" i="1"/>
  <c r="B625" i="1"/>
  <c r="B665" i="1"/>
  <c r="B726" i="1"/>
  <c r="B762" i="1"/>
  <c r="B798" i="1"/>
  <c r="B834" i="1"/>
  <c r="B870" i="1"/>
  <c r="B906" i="1"/>
  <c r="B942" i="1"/>
  <c r="B143" i="1"/>
  <c r="B35" i="1"/>
  <c r="B596" i="1"/>
  <c r="B681" i="1"/>
  <c r="B741" i="1"/>
  <c r="B813" i="1"/>
  <c r="B885" i="1"/>
  <c r="B921" i="1"/>
  <c r="B101" i="1"/>
  <c r="B193" i="1"/>
  <c r="B287" i="1"/>
  <c r="B386" i="1"/>
  <c r="B470" i="1"/>
  <c r="B559" i="1"/>
  <c r="B706" i="1"/>
  <c r="B850" i="1"/>
  <c r="B922" i="1"/>
  <c r="B114" i="1"/>
  <c r="B194" i="1"/>
  <c r="B288" i="1"/>
  <c r="B392" i="1"/>
  <c r="B471" i="1"/>
  <c r="B560" i="1"/>
  <c r="B789" i="1"/>
  <c r="B861" i="1"/>
  <c r="B933" i="1"/>
  <c r="B115" i="1"/>
  <c r="B207" i="1"/>
  <c r="B289" i="1"/>
  <c r="B393" i="1"/>
  <c r="B472" i="1"/>
  <c r="B572" i="1"/>
  <c r="B646" i="1"/>
  <c r="B754" i="1"/>
  <c r="B826" i="1"/>
  <c r="B898" i="1"/>
  <c r="B970" i="1"/>
  <c r="B75" i="1"/>
  <c r="B159" i="1"/>
  <c r="B249" i="1"/>
  <c r="B348" i="1"/>
  <c r="B449" i="1"/>
  <c r="B527" i="1"/>
  <c r="B611" i="1"/>
  <c r="B755" i="1"/>
  <c r="B827" i="1"/>
  <c r="B899" i="1"/>
  <c r="B971" i="1"/>
  <c r="B76" i="1"/>
  <c r="B171" i="1"/>
  <c r="B250" i="1"/>
  <c r="B308" i="1"/>
  <c r="B450" i="1"/>
  <c r="B476" i="1"/>
  <c r="B536" i="1"/>
  <c r="B612" i="1"/>
  <c r="B760" i="1"/>
  <c r="B832" i="1"/>
  <c r="B904" i="1"/>
  <c r="B121" i="1"/>
  <c r="B177" i="1"/>
  <c r="B263" i="1"/>
  <c r="B350" i="1"/>
  <c r="B451" i="1"/>
  <c r="B481" i="1"/>
  <c r="B537" i="1"/>
  <c r="B624" i="1"/>
  <c r="B761" i="1"/>
  <c r="B869" i="1"/>
  <c r="B79" i="1"/>
  <c r="B135" i="1"/>
  <c r="B179" i="1"/>
  <c r="B224" i="1"/>
  <c r="B265" i="1"/>
  <c r="B311" i="1"/>
  <c r="B369" i="1"/>
  <c r="B410" i="1"/>
  <c r="B465" i="1"/>
  <c r="B483" i="1"/>
  <c r="B504" i="1"/>
  <c r="B539" i="1"/>
  <c r="B588" i="1"/>
  <c r="B630" i="1"/>
  <c r="B666" i="1"/>
  <c r="B701" i="1"/>
  <c r="B737" i="1"/>
  <c r="B773" i="1"/>
  <c r="B809" i="1"/>
  <c r="B845" i="1"/>
  <c r="B881" i="1"/>
  <c r="B917" i="1"/>
  <c r="B953" i="1"/>
  <c r="B778" i="1"/>
  <c r="B50" i="1"/>
  <c r="B833" i="1"/>
  <c r="B97" i="1"/>
  <c r="B136" i="1"/>
  <c r="B180" i="1"/>
  <c r="B225" i="1"/>
  <c r="B266" i="1"/>
  <c r="B324" i="1"/>
  <c r="B370" i="1"/>
  <c r="B416" i="1"/>
  <c r="B505" i="1"/>
  <c r="B540" i="1"/>
  <c r="B589" i="1"/>
  <c r="B631" i="1"/>
  <c r="B678" i="1"/>
  <c r="B702" i="1"/>
  <c r="B738" i="1"/>
  <c r="B774" i="1"/>
  <c r="B810" i="1"/>
  <c r="B846" i="1"/>
  <c r="B882" i="1"/>
  <c r="B918" i="1"/>
  <c r="B954" i="1"/>
  <c r="B31" i="1"/>
  <c r="B812" i="1"/>
  <c r="B956" i="1"/>
  <c r="B48" i="1"/>
  <c r="B49" i="1"/>
  <c r="B51" i="1"/>
  <c r="B52" i="1"/>
  <c r="B65" i="1"/>
  <c r="B30" i="1"/>
  <c r="B98" i="1"/>
  <c r="B137" i="1"/>
  <c r="B185" i="1"/>
  <c r="B226" i="1"/>
  <c r="B272" i="1"/>
  <c r="B325" i="1"/>
  <c r="B371" i="1"/>
  <c r="B429" i="1"/>
  <c r="B506" i="1"/>
  <c r="B552" i="1"/>
  <c r="B594" i="1"/>
  <c r="B632" i="1"/>
  <c r="B679" i="1"/>
  <c r="B703" i="1"/>
  <c r="B739" i="1"/>
  <c r="B775" i="1"/>
  <c r="B811" i="1"/>
  <c r="B847" i="1"/>
  <c r="B883" i="1"/>
  <c r="B919" i="1"/>
  <c r="B955" i="1"/>
  <c r="B34" i="1"/>
  <c r="B99" i="1"/>
  <c r="B186" i="1"/>
  <c r="B227" i="1"/>
  <c r="B285" i="1"/>
  <c r="B326" i="1"/>
  <c r="B372" i="1"/>
  <c r="B430" i="1"/>
  <c r="B507" i="1"/>
  <c r="B553" i="1"/>
  <c r="B595" i="1"/>
  <c r="B644" i="1"/>
  <c r="B680" i="1"/>
  <c r="B704" i="1"/>
  <c r="B740" i="1"/>
  <c r="B776" i="1"/>
  <c r="B848" i="1"/>
  <c r="B884" i="1"/>
  <c r="B920" i="1"/>
  <c r="B100" i="1"/>
  <c r="B156" i="1"/>
  <c r="B187" i="1"/>
  <c r="B228" i="1"/>
  <c r="B286" i="1"/>
  <c r="B332" i="1"/>
  <c r="B385" i="1"/>
  <c r="B431" i="1"/>
  <c r="B519" i="1"/>
  <c r="B558" i="1"/>
  <c r="B645" i="1"/>
  <c r="B705" i="1"/>
  <c r="B777" i="1"/>
  <c r="B849" i="1"/>
  <c r="B957" i="1"/>
  <c r="B241" i="1"/>
  <c r="B333" i="1"/>
  <c r="B520" i="1"/>
  <c r="B608" i="1"/>
  <c r="B682" i="1"/>
  <c r="B742" i="1"/>
  <c r="B814" i="1"/>
  <c r="B886" i="1"/>
  <c r="B958" i="1"/>
  <c r="B157" i="1"/>
  <c r="B242" i="1"/>
  <c r="B346" i="1"/>
  <c r="B525" i="1"/>
  <c r="B609" i="1"/>
  <c r="B693" i="1"/>
  <c r="B753" i="1"/>
  <c r="B825" i="1"/>
  <c r="B897" i="1"/>
  <c r="B969" i="1"/>
  <c r="B158" i="1"/>
  <c r="B248" i="1"/>
  <c r="B347" i="1"/>
  <c r="B443" i="1"/>
  <c r="B526" i="1"/>
  <c r="B610" i="1"/>
  <c r="B790" i="1"/>
  <c r="B862" i="1"/>
  <c r="B934" i="1"/>
  <c r="B119" i="1"/>
  <c r="B208" i="1"/>
  <c r="B302" i="1"/>
  <c r="B394" i="1"/>
  <c r="B473" i="1"/>
  <c r="B489" i="1"/>
  <c r="B573" i="1"/>
  <c r="B658" i="1"/>
  <c r="B791" i="1"/>
  <c r="B863" i="1"/>
  <c r="B935" i="1"/>
  <c r="B120" i="1"/>
  <c r="B209" i="1"/>
  <c r="B349" i="1"/>
  <c r="B407" i="1"/>
  <c r="B474" i="1"/>
  <c r="B574" i="1"/>
  <c r="B659" i="1"/>
  <c r="B796" i="1"/>
  <c r="B868" i="1"/>
  <c r="B940" i="1"/>
  <c r="B77" i="1"/>
  <c r="B210" i="1"/>
  <c r="B309" i="1"/>
  <c r="B408" i="1"/>
  <c r="B491" i="1"/>
  <c r="B575" i="1"/>
  <c r="B664" i="1"/>
  <c r="B797" i="1"/>
  <c r="B905" i="1"/>
  <c r="B941" i="1"/>
  <c r="A974" i="1"/>
  <c r="A962" i="1"/>
  <c r="A950" i="1"/>
  <c r="A938" i="1"/>
  <c r="A926" i="1"/>
  <c r="A914" i="1"/>
  <c r="A902" i="1"/>
  <c r="A890" i="1"/>
  <c r="A878" i="1"/>
  <c r="A866" i="1"/>
  <c r="A854" i="1"/>
  <c r="A842" i="1"/>
  <c r="A830" i="1"/>
  <c r="A818" i="1"/>
  <c r="A806" i="1"/>
  <c r="A794" i="1"/>
  <c r="A782" i="1"/>
  <c r="A770" i="1"/>
  <c r="A758" i="1"/>
  <c r="A746" i="1"/>
  <c r="A734" i="1"/>
  <c r="A973" i="1"/>
  <c r="A958" i="1"/>
  <c r="A885" i="1"/>
  <c r="A961" i="1"/>
  <c r="A949" i="1"/>
  <c r="A937" i="1"/>
  <c r="A925" i="1"/>
  <c r="A913" i="1"/>
  <c r="A901" i="1"/>
  <c r="A889" i="1"/>
  <c r="A877" i="1"/>
  <c r="A865" i="1"/>
  <c r="A853" i="1"/>
  <c r="A841" i="1"/>
  <c r="A829" i="1"/>
  <c r="A817" i="1"/>
  <c r="A805" i="1"/>
  <c r="A793" i="1"/>
  <c r="A781" i="1"/>
  <c r="A769" i="1"/>
  <c r="A757" i="1"/>
  <c r="A745" i="1"/>
  <c r="A733" i="1"/>
  <c r="A972" i="1"/>
  <c r="A960" i="1"/>
  <c r="A948" i="1"/>
  <c r="A936" i="1"/>
  <c r="A924" i="1"/>
  <c r="A912" i="1"/>
  <c r="A900" i="1"/>
  <c r="A888" i="1"/>
  <c r="A876" i="1"/>
  <c r="A864" i="1"/>
  <c r="A852" i="1"/>
  <c r="A840" i="1"/>
  <c r="A828" i="1"/>
  <c r="A816" i="1"/>
  <c r="A804" i="1"/>
  <c r="A792" i="1"/>
  <c r="A780" i="1"/>
  <c r="A768" i="1"/>
  <c r="A756" i="1"/>
  <c r="A744" i="1"/>
  <c r="A732" i="1"/>
  <c r="A971" i="1"/>
  <c r="A959" i="1"/>
  <c r="A947" i="1"/>
  <c r="A935" i="1"/>
  <c r="A923" i="1"/>
  <c r="A911" i="1"/>
  <c r="A899" i="1"/>
  <c r="A887" i="1"/>
  <c r="A875" i="1"/>
  <c r="A863" i="1"/>
  <c r="A851" i="1"/>
  <c r="A839" i="1"/>
  <c r="A827" i="1"/>
  <c r="A815" i="1"/>
  <c r="A803" i="1"/>
  <c r="A791" i="1"/>
  <c r="A779" i="1"/>
  <c r="A767" i="1"/>
  <c r="A755" i="1"/>
  <c r="A743" i="1"/>
  <c r="A731" i="1"/>
  <c r="A970" i="1"/>
  <c r="A946" i="1"/>
  <c r="A934" i="1"/>
  <c r="A922" i="1"/>
  <c r="A910" i="1"/>
  <c r="A898" i="1"/>
  <c r="A886" i="1"/>
  <c r="A874" i="1"/>
  <c r="A862" i="1"/>
  <c r="A850" i="1"/>
  <c r="A838" i="1"/>
  <c r="A826" i="1"/>
  <c r="A814" i="1"/>
  <c r="A802" i="1"/>
  <c r="A790" i="1"/>
  <c r="A778" i="1"/>
  <c r="A766" i="1"/>
  <c r="A754" i="1"/>
  <c r="A742" i="1"/>
  <c r="A730" i="1"/>
  <c r="A969" i="1"/>
  <c r="A957" i="1"/>
  <c r="A945" i="1"/>
  <c r="A933" i="1"/>
  <c r="A921" i="1"/>
  <c r="A909" i="1"/>
  <c r="A897" i="1"/>
  <c r="A873" i="1"/>
  <c r="A861" i="1"/>
  <c r="A849" i="1"/>
  <c r="A837" i="1"/>
  <c r="A825" i="1"/>
  <c r="A813" i="1"/>
  <c r="A801" i="1"/>
  <c r="A789" i="1"/>
  <c r="A777" i="1"/>
  <c r="A765" i="1"/>
  <c r="A753" i="1"/>
  <c r="A741" i="1"/>
  <c r="A729" i="1"/>
  <c r="A968" i="1"/>
  <c r="A956" i="1"/>
  <c r="A944" i="1"/>
  <c r="A932" i="1"/>
  <c r="A920" i="1"/>
  <c r="A908" i="1"/>
  <c r="A896" i="1"/>
  <c r="A884" i="1"/>
  <c r="A872" i="1"/>
  <c r="A860" i="1"/>
  <c r="A848" i="1"/>
  <c r="A836" i="1"/>
  <c r="A824" i="1"/>
  <c r="A812" i="1"/>
  <c r="A800" i="1"/>
  <c r="A788" i="1"/>
  <c r="A776" i="1"/>
  <c r="A764" i="1"/>
  <c r="A752" i="1"/>
  <c r="A740" i="1"/>
  <c r="A728" i="1"/>
  <c r="A967" i="1"/>
  <c r="A943" i="1"/>
  <c r="A931" i="1"/>
  <c r="A919" i="1"/>
  <c r="A966" i="1"/>
  <c r="A939" i="1"/>
  <c r="A904" i="1"/>
  <c r="A871" i="1"/>
  <c r="A845" i="1"/>
  <c r="A819" i="1"/>
  <c r="A786" i="1"/>
  <c r="A760" i="1"/>
  <c r="A727" i="1"/>
  <c r="A963" i="1"/>
  <c r="A835" i="1"/>
  <c r="A783" i="1"/>
  <c r="A955" i="1"/>
  <c r="A867" i="1"/>
  <c r="A834" i="1"/>
  <c r="A775" i="1"/>
  <c r="A954" i="1"/>
  <c r="A833" i="1"/>
  <c r="A774" i="1"/>
  <c r="A953" i="1"/>
  <c r="A891" i="1"/>
  <c r="A799" i="1"/>
  <c r="A747" i="1"/>
  <c r="A952" i="1"/>
  <c r="A857" i="1"/>
  <c r="A772" i="1"/>
  <c r="A951" i="1"/>
  <c r="A882" i="1"/>
  <c r="A797" i="1"/>
  <c r="A738" i="1"/>
  <c r="A942" i="1"/>
  <c r="A822" i="1"/>
  <c r="A763" i="1"/>
  <c r="A941" i="1"/>
  <c r="A847" i="1"/>
  <c r="A795" i="1"/>
  <c r="A736" i="1"/>
  <c r="A905" i="1"/>
  <c r="A820" i="1"/>
  <c r="A761" i="1"/>
  <c r="A965" i="1"/>
  <c r="A930" i="1"/>
  <c r="A903" i="1"/>
  <c r="A870" i="1"/>
  <c r="A844" i="1"/>
  <c r="A811" i="1"/>
  <c r="A785" i="1"/>
  <c r="A759" i="1"/>
  <c r="A726" i="1"/>
  <c r="A928" i="1"/>
  <c r="A894" i="1"/>
  <c r="A868" i="1"/>
  <c r="A809" i="1"/>
  <c r="A750" i="1"/>
  <c r="A927" i="1"/>
  <c r="A893" i="1"/>
  <c r="A808" i="1"/>
  <c r="A749" i="1"/>
  <c r="A918" i="1"/>
  <c r="A859" i="1"/>
  <c r="A807" i="1"/>
  <c r="A748" i="1"/>
  <c r="A917" i="1"/>
  <c r="A858" i="1"/>
  <c r="A832" i="1"/>
  <c r="A773" i="1"/>
  <c r="A916" i="1"/>
  <c r="A831" i="1"/>
  <c r="A798" i="1"/>
  <c r="A739" i="1"/>
  <c r="A915" i="1"/>
  <c r="A856" i="1"/>
  <c r="A823" i="1"/>
  <c r="A771" i="1"/>
  <c r="A907" i="1"/>
  <c r="A796" i="1"/>
  <c r="A737" i="1"/>
  <c r="A906" i="1"/>
  <c r="A880" i="1"/>
  <c r="A821" i="1"/>
  <c r="A762" i="1"/>
  <c r="A940" i="1"/>
  <c r="A846" i="1"/>
  <c r="A787" i="1"/>
  <c r="A735" i="1"/>
  <c r="A964" i="1"/>
  <c r="A929" i="1"/>
  <c r="A895" i="1"/>
  <c r="A869" i="1"/>
  <c r="A843" i="1"/>
  <c r="A810" i="1"/>
  <c r="A784" i="1"/>
  <c r="A751" i="1"/>
  <c r="A892" i="1"/>
  <c r="A881" i="1"/>
  <c r="A883" i="1"/>
  <c r="A855" i="1"/>
  <c r="A879" i="1"/>
  <c r="A725" i="1"/>
  <c r="A713" i="1"/>
  <c r="A701" i="1"/>
  <c r="A689" i="1"/>
  <c r="A677" i="1"/>
  <c r="A665" i="1"/>
  <c r="A653" i="1"/>
  <c r="A643" i="1"/>
  <c r="A631" i="1"/>
  <c r="A619" i="1"/>
  <c r="A607" i="1"/>
  <c r="A595" i="1"/>
  <c r="A583" i="1"/>
  <c r="A571" i="1"/>
  <c r="A559" i="1"/>
  <c r="A547" i="1"/>
  <c r="A535" i="1"/>
  <c r="A526" i="1"/>
  <c r="A514" i="1"/>
  <c r="A502" i="1"/>
  <c r="A490" i="1"/>
  <c r="A482" i="1"/>
  <c r="A469" i="1"/>
  <c r="A461" i="1"/>
  <c r="A449" i="1"/>
  <c r="A438" i="1"/>
  <c r="A428" i="1"/>
  <c r="A416" i="1"/>
  <c r="A404" i="1"/>
  <c r="A392" i="1"/>
  <c r="A380" i="1"/>
  <c r="A368" i="1"/>
  <c r="A356" i="1"/>
  <c r="A344" i="1"/>
  <c r="A332" i="1"/>
  <c r="A320" i="1"/>
  <c r="A308" i="1"/>
  <c r="A296" i="1"/>
  <c r="A284" i="1"/>
  <c r="A272" i="1"/>
  <c r="A260" i="1"/>
  <c r="A248" i="1"/>
  <c r="A236" i="1"/>
  <c r="A224" i="1"/>
  <c r="A217" i="1"/>
  <c r="A205" i="1"/>
  <c r="A193" i="1"/>
  <c r="A177" i="1"/>
  <c r="A165" i="1"/>
  <c r="A155" i="1"/>
  <c r="A143" i="1"/>
  <c r="A131" i="1"/>
  <c r="A119" i="1"/>
  <c r="A109" i="1"/>
  <c r="A97" i="1"/>
  <c r="A85" i="1"/>
  <c r="A73" i="1"/>
  <c r="A71" i="1"/>
  <c r="A59" i="1"/>
  <c r="A47" i="1"/>
  <c r="A35" i="1"/>
  <c r="A29" i="1"/>
  <c r="A7" i="1"/>
  <c r="A699" i="1"/>
  <c r="A686" i="1"/>
  <c r="A674" i="1"/>
  <c r="A650" i="1"/>
  <c r="A628" i="1"/>
  <c r="A592" i="1"/>
  <c r="A568" i="1"/>
  <c r="A544" i="1"/>
  <c r="A523" i="1"/>
  <c r="A499" i="1"/>
  <c r="A479" i="1"/>
  <c r="A446" i="1"/>
  <c r="A425" i="1"/>
  <c r="A401" i="1"/>
  <c r="A377" i="1"/>
  <c r="A353" i="1"/>
  <c r="A329" i="1"/>
  <c r="A305" i="1"/>
  <c r="A281" i="1"/>
  <c r="A269" i="1"/>
  <c r="A245" i="1"/>
  <c r="A214" i="1"/>
  <c r="A190" i="1"/>
  <c r="A162" i="1"/>
  <c r="A128" i="1"/>
  <c r="A106" i="1"/>
  <c r="A68" i="1"/>
  <c r="A32" i="1"/>
  <c r="A16" i="1"/>
  <c r="A709" i="1"/>
  <c r="A412" i="1"/>
  <c r="A724" i="1"/>
  <c r="A712" i="1"/>
  <c r="A688" i="1"/>
  <c r="A676" i="1"/>
  <c r="A664" i="1"/>
  <c r="A652" i="1"/>
  <c r="A642" i="1"/>
  <c r="A630" i="1"/>
  <c r="A618" i="1"/>
  <c r="A606" i="1"/>
  <c r="A594" i="1"/>
  <c r="A582" i="1"/>
  <c r="A570" i="1"/>
  <c r="A558" i="1"/>
  <c r="A546" i="1"/>
  <c r="A534" i="1"/>
  <c r="A525" i="1"/>
  <c r="A513" i="1"/>
  <c r="A501" i="1"/>
  <c r="A489" i="1"/>
  <c r="A481" i="1"/>
  <c r="A468" i="1"/>
  <c r="A460" i="1"/>
  <c r="A448" i="1"/>
  <c r="A437" i="1"/>
  <c r="A427" i="1"/>
  <c r="A415" i="1"/>
  <c r="A403" i="1"/>
  <c r="A391" i="1"/>
  <c r="A379" i="1"/>
  <c r="A367" i="1"/>
  <c r="A355" i="1"/>
  <c r="A343" i="1"/>
  <c r="A331" i="1"/>
  <c r="A319" i="1"/>
  <c r="A307" i="1"/>
  <c r="A295" i="1"/>
  <c r="A283" i="1"/>
  <c r="A271" i="1"/>
  <c r="A259" i="1"/>
  <c r="A247" i="1"/>
  <c r="A235" i="1"/>
  <c r="A223" i="1"/>
  <c r="A216" i="1"/>
  <c r="A204" i="1"/>
  <c r="A192" i="1"/>
  <c r="A176" i="1"/>
  <c r="A164" i="1"/>
  <c r="A154" i="1"/>
  <c r="A142" i="1"/>
  <c r="A130" i="1"/>
  <c r="A108" i="1"/>
  <c r="A96" i="1"/>
  <c r="A84" i="1"/>
  <c r="A72" i="1"/>
  <c r="A70" i="1"/>
  <c r="A58" i="1"/>
  <c r="A46" i="1"/>
  <c r="A34" i="1"/>
  <c r="A28" i="1"/>
  <c r="A6" i="1"/>
  <c r="A710" i="1"/>
  <c r="A662" i="1"/>
  <c r="A640" i="1"/>
  <c r="A616" i="1"/>
  <c r="A604" i="1"/>
  <c r="A580" i="1"/>
  <c r="A556" i="1"/>
  <c r="A532" i="1"/>
  <c r="A511" i="1"/>
  <c r="A487" i="1"/>
  <c r="A466" i="1"/>
  <c r="A458" i="1"/>
  <c r="A435" i="1"/>
  <c r="A413" i="1"/>
  <c r="A389" i="1"/>
  <c r="A365" i="1"/>
  <c r="A341" i="1"/>
  <c r="A317" i="1"/>
  <c r="A293" i="1"/>
  <c r="A257" i="1"/>
  <c r="A221" i="1"/>
  <c r="A202" i="1"/>
  <c r="A174" i="1"/>
  <c r="A140" i="1"/>
  <c r="A94" i="1"/>
  <c r="A56" i="1"/>
  <c r="A26" i="1"/>
  <c r="A18" i="1"/>
  <c r="A4" i="1"/>
  <c r="A723" i="1"/>
  <c r="A711" i="1"/>
  <c r="A700" i="1"/>
  <c r="A687" i="1"/>
  <c r="A675" i="1"/>
  <c r="A663" i="1"/>
  <c r="A651" i="1"/>
  <c r="A641" i="1"/>
  <c r="A629" i="1"/>
  <c r="A617" i="1"/>
  <c r="A605" i="1"/>
  <c r="A593" i="1"/>
  <c r="A581" i="1"/>
  <c r="A569" i="1"/>
  <c r="A557" i="1"/>
  <c r="A545" i="1"/>
  <c r="A533" i="1"/>
  <c r="A524" i="1"/>
  <c r="A512" i="1"/>
  <c r="A500" i="1"/>
  <c r="A488" i="1"/>
  <c r="A480" i="1"/>
  <c r="A467" i="1"/>
  <c r="A459" i="1"/>
  <c r="A447" i="1"/>
  <c r="A436" i="1"/>
  <c r="A426" i="1"/>
  <c r="A414" i="1"/>
  <c r="A402" i="1"/>
  <c r="A390" i="1"/>
  <c r="A378" i="1"/>
  <c r="A366" i="1"/>
  <c r="A354" i="1"/>
  <c r="A342" i="1"/>
  <c r="A330" i="1"/>
  <c r="A318" i="1"/>
  <c r="A306" i="1"/>
  <c r="A294" i="1"/>
  <c r="A282" i="1"/>
  <c r="A270" i="1"/>
  <c r="A258" i="1"/>
  <c r="A246" i="1"/>
  <c r="A234" i="1"/>
  <c r="A222" i="1"/>
  <c r="A215" i="1"/>
  <c r="A203" i="1"/>
  <c r="A191" i="1"/>
  <c r="A175" i="1"/>
  <c r="A163" i="1"/>
  <c r="A153" i="1"/>
  <c r="A141" i="1"/>
  <c r="A129" i="1"/>
  <c r="A107" i="1"/>
  <c r="A95" i="1"/>
  <c r="A83" i="1"/>
  <c r="A69" i="1"/>
  <c r="A57" i="1"/>
  <c r="A45" i="1"/>
  <c r="A33" i="1"/>
  <c r="A27" i="1"/>
  <c r="A19" i="1"/>
  <c r="A17" i="1"/>
  <c r="A5" i="1"/>
  <c r="A722" i="1"/>
  <c r="A233" i="1"/>
  <c r="A152" i="1"/>
  <c r="A118" i="1"/>
  <c r="A82" i="1"/>
  <c r="A44" i="1"/>
  <c r="A721" i="1"/>
  <c r="A698" i="1"/>
  <c r="A685" i="1"/>
  <c r="A673" i="1"/>
  <c r="A661" i="1"/>
  <c r="A649" i="1"/>
  <c r="A639" i="1"/>
  <c r="A627" i="1"/>
  <c r="A615" i="1"/>
  <c r="A603" i="1"/>
  <c r="A591" i="1"/>
  <c r="A579" i="1"/>
  <c r="A567" i="1"/>
  <c r="A555" i="1"/>
  <c r="A543" i="1"/>
  <c r="A522" i="1"/>
  <c r="A510" i="1"/>
  <c r="A486" i="1"/>
  <c r="A478" i="1"/>
  <c r="A457" i="1"/>
  <c r="A445" i="1"/>
  <c r="A434" i="1"/>
  <c r="A424" i="1"/>
  <c r="A400" i="1"/>
  <c r="A720" i="1"/>
  <c r="A703" i="1"/>
  <c r="A693" i="1"/>
  <c r="A671" i="1"/>
  <c r="A654" i="1"/>
  <c r="A634" i="1"/>
  <c r="A612" i="1"/>
  <c r="A590" i="1"/>
  <c r="A573" i="1"/>
  <c r="A551" i="1"/>
  <c r="A515" i="1"/>
  <c r="A494" i="1"/>
  <c r="A483" i="1"/>
  <c r="A463" i="1"/>
  <c r="A422" i="1"/>
  <c r="A405" i="1"/>
  <c r="A384" i="1"/>
  <c r="A364" i="1"/>
  <c r="A348" i="1"/>
  <c r="A328" i="1"/>
  <c r="A312" i="1"/>
  <c r="A292" i="1"/>
  <c r="A276" i="1"/>
  <c r="A256" i="1"/>
  <c r="A240" i="1"/>
  <c r="A220" i="1"/>
  <c r="A209" i="1"/>
  <c r="A189" i="1"/>
  <c r="A181" i="1"/>
  <c r="A161" i="1"/>
  <c r="A147" i="1"/>
  <c r="A127" i="1"/>
  <c r="A113" i="1"/>
  <c r="A93" i="1"/>
  <c r="A77" i="1"/>
  <c r="A55" i="1"/>
  <c r="A39" i="1"/>
  <c r="A25" i="1"/>
  <c r="A3" i="1"/>
  <c r="A716" i="1"/>
  <c r="A625" i="1"/>
  <c r="A586" i="1"/>
  <c r="A542" i="1"/>
  <c r="A324" i="1"/>
  <c r="A173" i="1"/>
  <c r="A123" i="1"/>
  <c r="A51" i="1"/>
  <c r="A21" i="1"/>
  <c r="A694" i="1"/>
  <c r="A602" i="1"/>
  <c r="A505" i="1"/>
  <c r="A432" i="1"/>
  <c r="A375" i="1"/>
  <c r="A303" i="1"/>
  <c r="A251" i="1"/>
  <c r="A184" i="1"/>
  <c r="A122" i="1"/>
  <c r="A623" i="1"/>
  <c r="A540" i="1"/>
  <c r="A374" i="1"/>
  <c r="A302" i="1"/>
  <c r="A87" i="1"/>
  <c r="A49" i="1"/>
  <c r="A13" i="1"/>
  <c r="A708" i="1"/>
  <c r="A622" i="1"/>
  <c r="A539" i="1"/>
  <c r="A393" i="1"/>
  <c r="A337" i="1"/>
  <c r="A265" i="1"/>
  <c r="A198" i="1"/>
  <c r="A136" i="1"/>
  <c r="A48" i="1"/>
  <c r="A638" i="1"/>
  <c r="A577" i="1"/>
  <c r="A473" i="1"/>
  <c r="A431" i="1"/>
  <c r="A372" i="1"/>
  <c r="A316" i="1"/>
  <c r="A264" i="1"/>
  <c r="A197" i="1"/>
  <c r="A151" i="1"/>
  <c r="A81" i="1"/>
  <c r="A63" i="1"/>
  <c r="A11" i="1"/>
  <c r="A637" i="1"/>
  <c r="A598" i="1"/>
  <c r="A554" i="1"/>
  <c r="A472" i="1"/>
  <c r="A430" i="1"/>
  <c r="A719" i="1"/>
  <c r="A702" i="1"/>
  <c r="A692" i="1"/>
  <c r="A670" i="1"/>
  <c r="A648" i="1"/>
  <c r="A633" i="1"/>
  <c r="A611" i="1"/>
  <c r="A589" i="1"/>
  <c r="A572" i="1"/>
  <c r="A550" i="1"/>
  <c r="A531" i="1"/>
  <c r="A509" i="1"/>
  <c r="A493" i="1"/>
  <c r="A477" i="1"/>
  <c r="A462" i="1"/>
  <c r="A441" i="1"/>
  <c r="A421" i="1"/>
  <c r="A399" i="1"/>
  <c r="A383" i="1"/>
  <c r="A363" i="1"/>
  <c r="A347" i="1"/>
  <c r="A327" i="1"/>
  <c r="A311" i="1"/>
  <c r="A291" i="1"/>
  <c r="A275" i="1"/>
  <c r="A255" i="1"/>
  <c r="A239" i="1"/>
  <c r="A219" i="1"/>
  <c r="A208" i="1"/>
  <c r="A188" i="1"/>
  <c r="A180" i="1"/>
  <c r="A146" i="1"/>
  <c r="A126" i="1"/>
  <c r="A112" i="1"/>
  <c r="A92" i="1"/>
  <c r="A76" i="1"/>
  <c r="A54" i="1"/>
  <c r="A38" i="1"/>
  <c r="A24" i="1"/>
  <c r="A2" i="1"/>
  <c r="A695" i="1"/>
  <c r="A608" i="1"/>
  <c r="A564" i="1"/>
  <c r="A528" i="1"/>
  <c r="A506" i="1"/>
  <c r="A433" i="1"/>
  <c r="A396" i="1"/>
  <c r="A340" i="1"/>
  <c r="A268" i="1"/>
  <c r="A232" i="1"/>
  <c r="A715" i="1"/>
  <c r="A624" i="1"/>
  <c r="A585" i="1"/>
  <c r="A527" i="1"/>
  <c r="A417" i="1"/>
  <c r="A339" i="1"/>
  <c r="A267" i="1"/>
  <c r="A200" i="1"/>
  <c r="A138" i="1"/>
  <c r="A714" i="1"/>
  <c r="A645" i="1"/>
  <c r="A601" i="1"/>
  <c r="A521" i="1"/>
  <c r="A394" i="1"/>
  <c r="A322" i="1"/>
  <c r="A250" i="1"/>
  <c r="A183" i="1"/>
  <c r="A103" i="1"/>
  <c r="A65" i="1"/>
  <c r="A644" i="1"/>
  <c r="A561" i="1"/>
  <c r="A474" i="1"/>
  <c r="A410" i="1"/>
  <c r="A321" i="1"/>
  <c r="A285" i="1"/>
  <c r="A170" i="1"/>
  <c r="A102" i="1"/>
  <c r="A64" i="1"/>
  <c r="A12" i="1"/>
  <c r="A707" i="1"/>
  <c r="A621" i="1"/>
  <c r="A560" i="1"/>
  <c r="A498" i="1"/>
  <c r="A388" i="1"/>
  <c r="A300" i="1"/>
  <c r="A244" i="1"/>
  <c r="A117" i="1"/>
  <c r="A43" i="1"/>
  <c r="A706" i="1"/>
  <c r="A620" i="1"/>
  <c r="A537" i="1"/>
  <c r="A387" i="1"/>
  <c r="A718" i="1"/>
  <c r="A697" i="1"/>
  <c r="A691" i="1"/>
  <c r="A669" i="1"/>
  <c r="A647" i="1"/>
  <c r="A632" i="1"/>
  <c r="A610" i="1"/>
  <c r="A588" i="1"/>
  <c r="A566" i="1"/>
  <c r="A549" i="1"/>
  <c r="A530" i="1"/>
  <c r="A508" i="1"/>
  <c r="A492" i="1"/>
  <c r="A476" i="1"/>
  <c r="A456" i="1"/>
  <c r="A440" i="1"/>
  <c r="A420" i="1"/>
  <c r="A398" i="1"/>
  <c r="A382" i="1"/>
  <c r="A362" i="1"/>
  <c r="A346" i="1"/>
  <c r="A326" i="1"/>
  <c r="A310" i="1"/>
  <c r="A290" i="1"/>
  <c r="A274" i="1"/>
  <c r="A254" i="1"/>
  <c r="A238" i="1"/>
  <c r="A218" i="1"/>
  <c r="A207" i="1"/>
  <c r="A187" i="1"/>
  <c r="A179" i="1"/>
  <c r="A160" i="1"/>
  <c r="A145" i="1"/>
  <c r="A125" i="1"/>
  <c r="A111" i="1"/>
  <c r="A91" i="1"/>
  <c r="A75" i="1"/>
  <c r="A53" i="1"/>
  <c r="A37" i="1"/>
  <c r="A23" i="1"/>
  <c r="A667" i="1"/>
  <c r="A418" i="1"/>
  <c r="A360" i="1"/>
  <c r="A304" i="1"/>
  <c r="A252" i="1"/>
  <c r="A201" i="1"/>
  <c r="A158" i="1"/>
  <c r="A105" i="1"/>
  <c r="A15" i="1"/>
  <c r="A666" i="1"/>
  <c r="A563" i="1"/>
  <c r="A359" i="1"/>
  <c r="A287" i="1"/>
  <c r="A157" i="1"/>
  <c r="A88" i="1"/>
  <c r="A50" i="1"/>
  <c r="A20" i="1"/>
  <c r="A660" i="1"/>
  <c r="A562" i="1"/>
  <c r="A475" i="1"/>
  <c r="A411" i="1"/>
  <c r="A358" i="1"/>
  <c r="A266" i="1"/>
  <c r="A199" i="1"/>
  <c r="A137" i="1"/>
  <c r="A659" i="1"/>
  <c r="A578" i="1"/>
  <c r="A503" i="1"/>
  <c r="A373" i="1"/>
  <c r="A301" i="1"/>
  <c r="A229" i="1"/>
  <c r="A156" i="1"/>
  <c r="A86" i="1"/>
  <c r="A658" i="1"/>
  <c r="A538" i="1"/>
  <c r="A450" i="1"/>
  <c r="A409" i="1"/>
  <c r="A336" i="1"/>
  <c r="A228" i="1"/>
  <c r="A169" i="1"/>
  <c r="A101" i="1"/>
  <c r="A679" i="1"/>
  <c r="A576" i="1"/>
  <c r="A497" i="1"/>
  <c r="A408" i="1"/>
  <c r="A335" i="1"/>
  <c r="A717" i="1"/>
  <c r="A696" i="1"/>
  <c r="A690" i="1"/>
  <c r="A668" i="1"/>
  <c r="A646" i="1"/>
  <c r="A626" i="1"/>
  <c r="A609" i="1"/>
  <c r="A587" i="1"/>
  <c r="A565" i="1"/>
  <c r="A548" i="1"/>
  <c r="A529" i="1"/>
  <c r="A507" i="1"/>
  <c r="A491" i="1"/>
  <c r="A455" i="1"/>
  <c r="A439" i="1"/>
  <c r="A419" i="1"/>
  <c r="A397" i="1"/>
  <c r="A381" i="1"/>
  <c r="A361" i="1"/>
  <c r="A345" i="1"/>
  <c r="A325" i="1"/>
  <c r="A309" i="1"/>
  <c r="A289" i="1"/>
  <c r="A273" i="1"/>
  <c r="A253" i="1"/>
  <c r="A237" i="1"/>
  <c r="A206" i="1"/>
  <c r="A186" i="1"/>
  <c r="A178" i="1"/>
  <c r="A159" i="1"/>
  <c r="A144" i="1"/>
  <c r="A124" i="1"/>
  <c r="A110" i="1"/>
  <c r="A90" i="1"/>
  <c r="A74" i="1"/>
  <c r="A52" i="1"/>
  <c r="A36" i="1"/>
  <c r="A22" i="1"/>
  <c r="A684" i="1"/>
  <c r="A454" i="1"/>
  <c r="A376" i="1"/>
  <c r="A288" i="1"/>
  <c r="A185" i="1"/>
  <c r="A139" i="1"/>
  <c r="A89" i="1"/>
  <c r="A67" i="1"/>
  <c r="A683" i="1"/>
  <c r="A541" i="1"/>
  <c r="A453" i="1"/>
  <c r="A395" i="1"/>
  <c r="A323" i="1"/>
  <c r="A231" i="1"/>
  <c r="A172" i="1"/>
  <c r="A104" i="1"/>
  <c r="A66" i="1"/>
  <c r="A14" i="1"/>
  <c r="A682" i="1"/>
  <c r="A584" i="1"/>
  <c r="A504" i="1"/>
  <c r="A452" i="1"/>
  <c r="A338" i="1"/>
  <c r="A286" i="1"/>
  <c r="A230" i="1"/>
  <c r="A171" i="1"/>
  <c r="A121" i="1"/>
  <c r="A681" i="1"/>
  <c r="A600" i="1"/>
  <c r="A520" i="1"/>
  <c r="A451" i="1"/>
  <c r="A357" i="1"/>
  <c r="A249" i="1"/>
  <c r="A182" i="1"/>
  <c r="A120" i="1"/>
  <c r="A680" i="1"/>
  <c r="A599" i="1"/>
  <c r="A519" i="1"/>
  <c r="A352" i="1"/>
  <c r="A280" i="1"/>
  <c r="A213" i="1"/>
  <c r="A135" i="1"/>
  <c r="A657" i="1"/>
  <c r="A518" i="1"/>
  <c r="A444" i="1"/>
  <c r="A371" i="1"/>
  <c r="A705" i="1"/>
  <c r="A597" i="1"/>
  <c r="A443" i="1"/>
  <c r="A349" i="1"/>
  <c r="A263" i="1"/>
  <c r="A196" i="1"/>
  <c r="A134" i="1"/>
  <c r="A406" i="1"/>
  <c r="A386" i="1"/>
  <c r="A62" i="1"/>
  <c r="A167" i="1"/>
  <c r="A9" i="1"/>
  <c r="A636" i="1"/>
  <c r="A98" i="1"/>
  <c r="A635" i="1"/>
  <c r="A212" i="1"/>
  <c r="A42" i="1"/>
  <c r="A496" i="1"/>
  <c r="A278" i="1"/>
  <c r="A41" i="1"/>
  <c r="A495" i="1"/>
  <c r="A277" i="1"/>
  <c r="A40" i="1"/>
  <c r="A704" i="1"/>
  <c r="A596" i="1"/>
  <c r="A442" i="1"/>
  <c r="A334" i="1"/>
  <c r="A262" i="1"/>
  <c r="A195" i="1"/>
  <c r="A133" i="1"/>
  <c r="A678" i="1"/>
  <c r="A655" i="1"/>
  <c r="A298" i="1"/>
  <c r="A61" i="1"/>
  <c r="A517" i="1"/>
  <c r="A166" i="1"/>
  <c r="A8" i="1"/>
  <c r="A516" i="1"/>
  <c r="A279" i="1"/>
  <c r="A80" i="1"/>
  <c r="A614" i="1"/>
  <c r="A211" i="1"/>
  <c r="A613" i="1"/>
  <c r="A78" i="1"/>
  <c r="A575" i="1"/>
  <c r="A485" i="1"/>
  <c r="A429" i="1"/>
  <c r="A333" i="1"/>
  <c r="A261" i="1"/>
  <c r="A194" i="1"/>
  <c r="A132" i="1"/>
  <c r="A407" i="1"/>
  <c r="A672" i="1"/>
  <c r="A313" i="1"/>
  <c r="A536" i="1"/>
  <c r="A299" i="1"/>
  <c r="A100" i="1"/>
  <c r="A385" i="1"/>
  <c r="A99" i="1"/>
  <c r="A370" i="1"/>
  <c r="A297" i="1"/>
  <c r="A30" i="1"/>
  <c r="A369" i="1"/>
  <c r="A150" i="1"/>
  <c r="A351" i="1"/>
  <c r="A79" i="1"/>
  <c r="A350" i="1"/>
  <c r="A210" i="1"/>
  <c r="A574" i="1"/>
  <c r="A484" i="1"/>
  <c r="A423" i="1"/>
  <c r="A315" i="1"/>
  <c r="A243" i="1"/>
  <c r="A116" i="1"/>
  <c r="A553" i="1"/>
  <c r="A314" i="1"/>
  <c r="A242" i="1"/>
  <c r="A115" i="1"/>
  <c r="A552" i="1"/>
  <c r="A241" i="1"/>
  <c r="A114" i="1"/>
  <c r="A656" i="1"/>
  <c r="A227" i="1"/>
  <c r="A168" i="1"/>
  <c r="A10" i="1"/>
  <c r="A226" i="1"/>
  <c r="A31" i="1"/>
  <c r="A471" i="1"/>
  <c r="A225" i="1"/>
  <c r="A60" i="1"/>
  <c r="A470" i="1"/>
  <c r="A465" i="1"/>
  <c r="A149" i="1"/>
  <c r="A464" i="1"/>
  <c r="A148" i="1"/>
</calcChain>
</file>

<file path=xl/sharedStrings.xml><?xml version="1.0" encoding="utf-8"?>
<sst xmlns="http://schemas.openxmlformats.org/spreadsheetml/2006/main" count="6" uniqueCount="6">
  <si>
    <t>Production Plant</t>
  </si>
  <si>
    <t>Material</t>
  </si>
  <si>
    <t>Brand</t>
  </si>
  <si>
    <t>Market</t>
  </si>
  <si>
    <t>Customer</t>
  </si>
  <si>
    <t>Transaction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</si>
</sst>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4.emf"/><Relationship Id="rId3" Type="http://schemas.openxmlformats.org/officeDocument/2006/relationships/image" Target="../media/image14.emf"/><Relationship Id="rId7" Type="http://schemas.openxmlformats.org/officeDocument/2006/relationships/image" Target="../media/image10.emf"/><Relationship Id="rId12" Type="http://schemas.openxmlformats.org/officeDocument/2006/relationships/image" Target="../media/image5.emf"/><Relationship Id="rId2" Type="http://schemas.openxmlformats.org/officeDocument/2006/relationships/image" Target="../media/image15.emf"/><Relationship Id="rId16" Type="http://schemas.openxmlformats.org/officeDocument/2006/relationships/image" Target="../media/image1.emf"/><Relationship Id="rId1" Type="http://schemas.openxmlformats.org/officeDocument/2006/relationships/image" Target="../media/image16.emf"/><Relationship Id="rId6" Type="http://schemas.openxmlformats.org/officeDocument/2006/relationships/image" Target="../media/image11.emf"/><Relationship Id="rId11" Type="http://schemas.openxmlformats.org/officeDocument/2006/relationships/image" Target="../media/image6.emf"/><Relationship Id="rId5" Type="http://schemas.openxmlformats.org/officeDocument/2006/relationships/image" Target="../media/image12.emf"/><Relationship Id="rId15" Type="http://schemas.openxmlformats.org/officeDocument/2006/relationships/image" Target="../media/image2.emf"/><Relationship Id="rId10" Type="http://schemas.openxmlformats.org/officeDocument/2006/relationships/image" Target="../media/image7.emf"/><Relationship Id="rId4" Type="http://schemas.openxmlformats.org/officeDocument/2006/relationships/image" Target="../media/image13.emf"/><Relationship Id="rId9" Type="http://schemas.openxmlformats.org/officeDocument/2006/relationships/image" Target="../media/image8.emf"/><Relationship Id="rId1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AnalyzerDynReport000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6" name="AnalyzerDynReportHC000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7" name="AnalyzerDynReportDC000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8" name="ConnectionDescriptorsInfo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9" name="ConnectionDescriptorsInfoHCtb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0" name="ConnectionDescriptorsInfoDCtb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1" name="MultipleReportManagerInfotb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2" name="MultipleReportManagerInfoHCtb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3" name="MultipleReportManagerInfoDCtb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4" name="FPMExcelClientSheetOptionstb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5" name="ReportSubmitManagerControltb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6" name="ReportSubmitManagerControlHCtb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7" name="ReportSubmitManagerControlDCtb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8" name="ReportSubmitControl_1tb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9" name="ReportSubmitControl_1HCtb1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40" name="ReportSubmitControl_1DCtb1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13" Type="http://schemas.openxmlformats.org/officeDocument/2006/relationships/image" Target="../media/image4.emf"/><Relationship Id="rId18" Type="http://schemas.openxmlformats.org/officeDocument/2006/relationships/control" Target="../activeX/activeX7.xml"/><Relationship Id="rId26" Type="http://schemas.openxmlformats.org/officeDocument/2006/relationships/control" Target="../activeX/activeX11.xml"/><Relationship Id="rId3" Type="http://schemas.openxmlformats.org/officeDocument/2006/relationships/customProperty" Target="../customProperty2.bin"/><Relationship Id="rId21" Type="http://schemas.openxmlformats.org/officeDocument/2006/relationships/image" Target="../media/image8.emf"/><Relationship Id="rId34" Type="http://schemas.openxmlformats.org/officeDocument/2006/relationships/control" Target="../activeX/activeX15.xml"/><Relationship Id="rId7" Type="http://schemas.openxmlformats.org/officeDocument/2006/relationships/image" Target="../media/image1.emf"/><Relationship Id="rId12" Type="http://schemas.openxmlformats.org/officeDocument/2006/relationships/control" Target="../activeX/activeX4.xml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image" Target="../media/image14.emf"/><Relationship Id="rId2" Type="http://schemas.openxmlformats.org/officeDocument/2006/relationships/customProperty" Target="../customProperty1.bin"/><Relationship Id="rId16" Type="http://schemas.openxmlformats.org/officeDocument/2006/relationships/control" Target="../activeX/activeX6.xml"/><Relationship Id="rId20" Type="http://schemas.openxmlformats.org/officeDocument/2006/relationships/control" Target="../activeX/activeX8.xml"/><Relationship Id="rId29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24" Type="http://schemas.openxmlformats.org/officeDocument/2006/relationships/control" Target="../activeX/activeX10.xml"/><Relationship Id="rId32" Type="http://schemas.openxmlformats.org/officeDocument/2006/relationships/control" Target="../activeX/activeX14.xml"/><Relationship Id="rId37" Type="http://schemas.openxmlformats.org/officeDocument/2006/relationships/image" Target="../media/image16.emf"/><Relationship Id="rId5" Type="http://schemas.openxmlformats.org/officeDocument/2006/relationships/vmlDrawing" Target="../drawings/vmlDrawing1.vml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control" Target="../activeX/activeX12.xml"/><Relationship Id="rId36" Type="http://schemas.openxmlformats.org/officeDocument/2006/relationships/control" Target="../activeX/activeX16.xml"/><Relationship Id="rId10" Type="http://schemas.openxmlformats.org/officeDocument/2006/relationships/control" Target="../activeX/activeX3.xml"/><Relationship Id="rId19" Type="http://schemas.openxmlformats.org/officeDocument/2006/relationships/image" Target="../media/image7.emf"/><Relationship Id="rId31" Type="http://schemas.openxmlformats.org/officeDocument/2006/relationships/image" Target="../media/image13.emf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Relationship Id="rId14" Type="http://schemas.openxmlformats.org/officeDocument/2006/relationships/control" Target="../activeX/activeX5.xml"/><Relationship Id="rId22" Type="http://schemas.openxmlformats.org/officeDocument/2006/relationships/control" Target="../activeX/activeX9.xml"/><Relationship Id="rId27" Type="http://schemas.openxmlformats.org/officeDocument/2006/relationships/image" Target="../media/image11.emf"/><Relationship Id="rId30" Type="http://schemas.openxmlformats.org/officeDocument/2006/relationships/control" Target="../activeX/activeX13.xml"/><Relationship Id="rId35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3293-6B24-499F-B59A-F87A300D867B}">
  <sheetPr codeName="Sheet1"/>
  <dimension ref="A1:BN1142"/>
  <sheetViews>
    <sheetView tabSelected="1" zoomScale="80" zoomScaleNormal="80" workbookViewId="0">
      <selection activeCell="H14" sqref="H14"/>
    </sheetView>
  </sheetViews>
  <sheetFormatPr defaultRowHeight="14.5" x14ac:dyDescent="0.35"/>
  <cols>
    <col min="1" max="1" width="21.81640625" style="2" bestFit="1" customWidth="1"/>
    <col min="2" max="2" width="14.7265625" style="2" bestFit="1" customWidth="1"/>
    <col min="3" max="3" width="22" style="2" bestFit="1" customWidth="1"/>
    <col min="4" max="4" width="31.453125" style="2" bestFit="1" customWidth="1"/>
    <col min="5" max="5" width="15.453125" style="2" bestFit="1" customWidth="1"/>
    <col min="6" max="6" width="21.90625" style="2" bestFit="1" customWidth="1"/>
    <col min="7" max="7" width="13.6328125" style="2" bestFit="1" customWidth="1"/>
    <col min="8" max="8" width="12.6328125" style="2" bestFit="1" customWidth="1"/>
    <col min="9" max="9" width="12" style="2" bestFit="1" customWidth="1"/>
    <col min="10" max="10" width="13.1796875" style="2" bestFit="1" customWidth="1"/>
    <col min="11" max="11" width="12.90625" style="2" bestFit="1" customWidth="1"/>
    <col min="12" max="12" width="12.81640625" style="2" bestFit="1" customWidth="1"/>
    <col min="13" max="13" width="13.26953125" style="2" bestFit="1" customWidth="1"/>
    <col min="14" max="14" width="13.08984375" style="2" bestFit="1" customWidth="1"/>
    <col min="15" max="15" width="12.453125" style="2" bestFit="1" customWidth="1"/>
    <col min="16" max="16" width="12.90625" style="2" bestFit="1" customWidth="1"/>
    <col min="17" max="17" width="13.36328125" style="2" bestFit="1" customWidth="1"/>
    <col min="18" max="18" width="12.90625" style="2" bestFit="1" customWidth="1"/>
    <col min="19" max="19" width="13.6328125" style="2" bestFit="1" customWidth="1"/>
    <col min="20" max="20" width="12.6328125" style="2" bestFit="1" customWidth="1"/>
    <col min="21" max="21" width="12" style="2" bestFit="1" customWidth="1"/>
    <col min="22" max="22" width="13.1796875" style="2" bestFit="1" customWidth="1"/>
    <col min="23" max="23" width="12.90625" style="2" bestFit="1" customWidth="1"/>
    <col min="24" max="24" width="12.81640625" style="2" bestFit="1" customWidth="1"/>
    <col min="25" max="25" width="13.26953125" style="2" bestFit="1" customWidth="1"/>
    <col min="26" max="26" width="13.08984375" style="2" bestFit="1" customWidth="1"/>
    <col min="27" max="27" width="12.453125" style="2" bestFit="1" customWidth="1"/>
    <col min="28" max="28" width="12.90625" style="2" bestFit="1" customWidth="1"/>
    <col min="29" max="29" width="13.36328125" style="2" bestFit="1" customWidth="1"/>
    <col min="30" max="30" width="12.90625" style="2" bestFit="1" customWidth="1"/>
    <col min="31" max="31" width="13.6328125" style="2" bestFit="1" customWidth="1"/>
    <col min="32" max="32" width="12.6328125" style="2" bestFit="1" customWidth="1"/>
    <col min="33" max="33" width="12" style="2" bestFit="1" customWidth="1"/>
    <col min="34" max="34" width="13.1796875" style="2" bestFit="1" customWidth="1"/>
    <col min="35" max="35" width="12.90625" style="2" bestFit="1" customWidth="1"/>
    <col min="36" max="36" width="12.81640625" style="2" bestFit="1" customWidth="1"/>
    <col min="37" max="37" width="13.26953125" style="2" bestFit="1" customWidth="1"/>
    <col min="38" max="38" width="13.08984375" style="2" bestFit="1" customWidth="1"/>
    <col min="39" max="39" width="12.453125" style="2" bestFit="1" customWidth="1"/>
    <col min="40" max="40" width="12.90625" style="2" bestFit="1" customWidth="1"/>
    <col min="41" max="41" width="13.36328125" style="2" bestFit="1" customWidth="1"/>
    <col min="42" max="42" width="12.90625" style="2" bestFit="1" customWidth="1"/>
    <col min="43" max="43" width="13.6328125" style="2" bestFit="1" customWidth="1"/>
    <col min="44" max="44" width="12.6328125" style="2" bestFit="1" customWidth="1"/>
    <col min="45" max="45" width="12" style="2" bestFit="1" customWidth="1"/>
    <col min="46" max="46" width="13.1796875" style="2" bestFit="1" customWidth="1"/>
    <col min="47" max="47" width="12.90625" style="2" bestFit="1" customWidth="1"/>
    <col min="48" max="48" width="12.81640625" style="2" bestFit="1" customWidth="1"/>
    <col min="49" max="49" width="13.26953125" style="2" bestFit="1" customWidth="1"/>
    <col min="50" max="50" width="13.08984375" style="2" bestFit="1" customWidth="1"/>
    <col min="51" max="51" width="12.453125" style="2" bestFit="1" customWidth="1"/>
    <col min="52" max="52" width="12.90625" style="2" bestFit="1" customWidth="1"/>
    <col min="53" max="53" width="13.36328125" style="2" bestFit="1" customWidth="1"/>
    <col min="54" max="54" width="12.90625" style="2" bestFit="1" customWidth="1"/>
    <col min="55" max="55" width="13.6328125" style="2" bestFit="1" customWidth="1"/>
    <col min="56" max="56" width="12.6328125" style="2" bestFit="1" customWidth="1"/>
    <col min="57" max="57" width="12" style="2" bestFit="1" customWidth="1"/>
    <col min="58" max="58" width="13.1796875" style="2" bestFit="1" customWidth="1"/>
    <col min="59" max="59" width="12.90625" style="2" bestFit="1" customWidth="1"/>
    <col min="60" max="60" width="12.81640625" style="2" bestFit="1" customWidth="1"/>
    <col min="61" max="61" width="13.26953125" style="2" bestFit="1" customWidth="1"/>
    <col min="62" max="62" width="13.08984375" style="2" bestFit="1" customWidth="1"/>
    <col min="63" max="63" width="12.453125" style="2" bestFit="1" customWidth="1"/>
    <col min="64" max="64" width="12.90625" style="2" bestFit="1" customWidth="1"/>
    <col min="65" max="65" width="13.36328125" style="2" bestFit="1" customWidth="1"/>
    <col min="66" max="66" width="12.90625" style="2" bestFit="1" customWidth="1"/>
    <col min="67" max="16384" width="8.7265625" style="2"/>
  </cols>
  <sheetData>
    <row r="1" spans="1:66" s="1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 xml:space="preserve"> _xll.EPMOlapMemberO("[PERIODID3].[].[70617]","","May-21","","000")</f>
        <v>May-21</v>
      </c>
      <c r="H1" s="1" t="str">
        <f xml:space="preserve"> _xll.EPMOlapMemberO("[PERIODID3].[].[70618]","","Jun-21","","000")</f>
        <v>Jun-21</v>
      </c>
      <c r="I1" s="1" t="str">
        <f xml:space="preserve"> _xll.EPMOlapMemberO("[PERIODID3].[].[70619]","","Jul-21","","000")</f>
        <v>Jul-21</v>
      </c>
      <c r="J1" s="1" t="str">
        <f xml:space="preserve"> _xll.EPMOlapMemberO("[PERIODID3].[].[70620]","","Aug-21","","000")</f>
        <v>Aug-21</v>
      </c>
      <c r="K1" s="1" t="str">
        <f xml:space="preserve"> _xll.EPMOlapMemberO("[PERIODID3].[].[70621]","","Sep-21","","000")</f>
        <v>Sep-21</v>
      </c>
      <c r="L1" s="1" t="str">
        <f xml:space="preserve"> _xll.EPMOlapMemberO("[PERIODID3].[].[70622]","","Oct-21","","000")</f>
        <v>Oct-21</v>
      </c>
      <c r="M1" s="1" t="str">
        <f xml:space="preserve"> _xll.EPMOlapMemberO("[PERIODID3].[].[70623]","","Nov-21","","000")</f>
        <v>Nov-21</v>
      </c>
      <c r="N1" s="1" t="str">
        <f xml:space="preserve"> _xll.EPMOlapMemberO("[PERIODID3].[].[70624]","","Dec-21","","000")</f>
        <v>Dec-21</v>
      </c>
      <c r="O1" s="1" t="str">
        <f xml:space="preserve"> _xll.EPMOlapMemberO("[PERIODID3].[].[70625]","","Jan-22","","000")</f>
        <v>Jan-22</v>
      </c>
      <c r="P1" s="1" t="str">
        <f xml:space="preserve"> _xll.EPMOlapMemberO("[PERIODID3].[].[70626]","","Feb-22","","000")</f>
        <v>Feb-22</v>
      </c>
      <c r="Q1" s="1" t="str">
        <f xml:space="preserve"> _xll.EPMOlapMemberO("[PERIODID3].[].[70627]","","Mar-22","","000")</f>
        <v>Mar-22</v>
      </c>
      <c r="R1" s="1" t="str">
        <f xml:space="preserve"> _xll.EPMOlapMemberO("[PERIODID3].[].[70628]","","Apr-22","","000")</f>
        <v>Apr-22</v>
      </c>
      <c r="S1" s="1" t="str">
        <f xml:space="preserve"> _xll.EPMOlapMemberO("[PERIODID3].[].[70629]","","May-22","","000")</f>
        <v>May-22</v>
      </c>
      <c r="T1" s="1" t="str">
        <f xml:space="preserve"> _xll.EPMOlapMemberO("[PERIODID3].[].[70630]","","Jun-22","","000")</f>
        <v>Jun-22</v>
      </c>
      <c r="U1" s="1" t="str">
        <f xml:space="preserve"> _xll.EPMOlapMemberO("[PERIODID3].[].[70631]","","Jul-22","","000")</f>
        <v>Jul-22</v>
      </c>
      <c r="V1" s="1" t="str">
        <f xml:space="preserve"> _xll.EPMOlapMemberO("[PERIODID3].[].[70632]","","Aug-22","","000")</f>
        <v>Aug-22</v>
      </c>
      <c r="W1" s="1" t="str">
        <f xml:space="preserve"> _xll.EPMOlapMemberO("[PERIODID3].[].[70633]","","Sep-22","","000")</f>
        <v>Sep-22</v>
      </c>
      <c r="X1" s="1" t="str">
        <f xml:space="preserve"> _xll.EPMOlapMemberO("[PERIODID3].[].[70634]","","Oct-22","","000")</f>
        <v>Oct-22</v>
      </c>
      <c r="Y1" s="1" t="str">
        <f xml:space="preserve"> _xll.EPMOlapMemberO("[PERIODID3].[].[70635]","","Nov-22","","000")</f>
        <v>Nov-22</v>
      </c>
      <c r="Z1" s="1" t="str">
        <f xml:space="preserve"> _xll.EPMOlapMemberO("[PERIODID3].[].[70636]","","Dec-22","","000")</f>
        <v>Dec-22</v>
      </c>
      <c r="AA1" s="1" t="str">
        <f xml:space="preserve"> _xll.EPMOlapMemberO("[PERIODID3].[].[70637]","","Jan-23","","000")</f>
        <v>Jan-23</v>
      </c>
      <c r="AB1" s="1" t="str">
        <f xml:space="preserve"> _xll.EPMOlapMemberO("[PERIODID3].[].[70638]","","Feb-23","","000")</f>
        <v>Feb-23</v>
      </c>
      <c r="AC1" s="1" t="str">
        <f xml:space="preserve"> _xll.EPMOlapMemberO("[PERIODID3].[].[70639]","","Mar-23","","000")</f>
        <v>Mar-23</v>
      </c>
      <c r="AD1" s="1" t="str">
        <f xml:space="preserve"> _xll.EPMOlapMemberO("[PERIODID3].[].[70640]","","Apr-23","","000")</f>
        <v>Apr-23</v>
      </c>
      <c r="AE1" s="1" t="str">
        <f xml:space="preserve"> _xll.EPMOlapMemberO("[PERIODID3].[].[70641]","","May-23","","000")</f>
        <v>May-23</v>
      </c>
      <c r="AF1" s="1" t="str">
        <f xml:space="preserve"> _xll.EPMOlapMemberO("[PERIODID3].[].[70642]","","Jun-23","","000")</f>
        <v>Jun-23</v>
      </c>
      <c r="AG1" s="1" t="str">
        <f xml:space="preserve"> _xll.EPMOlapMemberO("[PERIODID3].[].[70643]","","Jul-23","","000")</f>
        <v>Jul-23</v>
      </c>
      <c r="AH1" s="1" t="str">
        <f xml:space="preserve"> _xll.EPMOlapMemberO("[PERIODID3].[].[70644]","","Aug-23","","000")</f>
        <v>Aug-23</v>
      </c>
      <c r="AI1" s="1" t="str">
        <f xml:space="preserve"> _xll.EPMOlapMemberO("[PERIODID3].[].[70645]","","Sep-23","","000")</f>
        <v>Sep-23</v>
      </c>
      <c r="AJ1" s="1" t="str">
        <f xml:space="preserve"> _xll.EPMOlapMemberO("[PERIODID3].[].[70646]","","Oct-23","","000")</f>
        <v>Oct-23</v>
      </c>
      <c r="AK1" s="1" t="str">
        <f xml:space="preserve"> _xll.EPMOlapMemberO("[PERIODID3].[].[70647]","","Nov-23","","000")</f>
        <v>Nov-23</v>
      </c>
      <c r="AL1" s="1" t="str">
        <f xml:space="preserve"> _xll.EPMOlapMemberO("[PERIODID3].[].[70648]","","Dec-23","","000")</f>
        <v>Dec-23</v>
      </c>
      <c r="AM1" s="1" t="str">
        <f xml:space="preserve"> _xll.EPMOlapMemberO("[PERIODID3].[].[70649]","","Jan-24","","000")</f>
        <v>Jan-24</v>
      </c>
      <c r="AN1" s="1" t="str">
        <f xml:space="preserve"> _xll.EPMOlapMemberO("[PERIODID3].[].[70650]","","Feb-24","","000")</f>
        <v>Feb-24</v>
      </c>
      <c r="AO1" s="1" t="str">
        <f xml:space="preserve"> _xll.EPMOlapMemberO("[PERIODID3].[].[70651]","","Mar-24","","000")</f>
        <v>Mar-24</v>
      </c>
      <c r="AP1" s="1" t="str">
        <f xml:space="preserve"> _xll.EPMOlapMemberO("[PERIODID3].[].[70652]","","Apr-24","","000")</f>
        <v>Apr-24</v>
      </c>
      <c r="AQ1" s="1" t="str">
        <f xml:space="preserve"> _xll.EPMOlapMemberO("[PERIODID3].[].[70653]","","May-24","","000")</f>
        <v>May-24</v>
      </c>
      <c r="AR1" s="1" t="str">
        <f xml:space="preserve"> _xll.EPMOlapMemberO("[PERIODID3].[].[70654]","","Jun-24","","000")</f>
        <v>Jun-24</v>
      </c>
      <c r="AS1" s="1" t="str">
        <f xml:space="preserve"> _xll.EPMOlapMemberO("[PERIODID3].[].[70655]","","Jul-24","","000")</f>
        <v>Jul-24</v>
      </c>
      <c r="AT1" s="1" t="str">
        <f xml:space="preserve"> _xll.EPMOlapMemberO("[PERIODID3].[].[70656]","","Aug-24","","000")</f>
        <v>Aug-24</v>
      </c>
      <c r="AU1" s="1" t="str">
        <f xml:space="preserve"> _xll.EPMOlapMemberO("[PERIODID3].[].[70657]","","Sep-24","","000")</f>
        <v>Sep-24</v>
      </c>
      <c r="AV1" s="1" t="str">
        <f xml:space="preserve"> _xll.EPMOlapMemberO("[PERIODID3].[].[70658]","","Oct-24","","000")</f>
        <v>Oct-24</v>
      </c>
      <c r="AW1" s="1" t="str">
        <f xml:space="preserve"> _xll.EPMOlapMemberO("[PERIODID3].[].[70659]","","Nov-24","","000")</f>
        <v>Nov-24</v>
      </c>
      <c r="AX1" s="1" t="str">
        <f xml:space="preserve"> _xll.EPMOlapMemberO("[PERIODID3].[].[70660]","","Dec-24","","000")</f>
        <v>Dec-24</v>
      </c>
      <c r="AY1" s="1" t="str">
        <f xml:space="preserve"> _xll.EPMOlapMemberO("[PERIODID3].[].[70661]","","Jan-25","","000")</f>
        <v>Jan-25</v>
      </c>
      <c r="AZ1" s="1" t="str">
        <f xml:space="preserve"> _xll.EPMOlapMemberO("[PERIODID3].[].[70662]","","Feb-25","","000")</f>
        <v>Feb-25</v>
      </c>
      <c r="BA1" s="1" t="str">
        <f xml:space="preserve"> _xll.EPMOlapMemberO("[PERIODID3].[].[70663]","","Mar-25","","000")</f>
        <v>Mar-25</v>
      </c>
      <c r="BB1" s="1" t="str">
        <f xml:space="preserve"> _xll.EPMOlapMemberO("[PERIODID3].[].[70664]","","Apr-25","","000")</f>
        <v>Apr-25</v>
      </c>
      <c r="BC1" s="1" t="str">
        <f xml:space="preserve"> _xll.EPMOlapMemberO("[PERIODID3].[].[70665]","","May-25","","000")</f>
        <v>May-25</v>
      </c>
      <c r="BD1" s="1" t="str">
        <f xml:space="preserve"> _xll.EPMOlapMemberO("[PERIODID3].[].[70666]","","Jun-25","","000")</f>
        <v>Jun-25</v>
      </c>
      <c r="BE1" s="1" t="str">
        <f xml:space="preserve"> _xll.EPMOlapMemberO("[PERIODID3].[].[70667]","","Jul-25","","000")</f>
        <v>Jul-25</v>
      </c>
      <c r="BF1" s="1" t="str">
        <f xml:space="preserve"> _xll.EPMOlapMemberO("[PERIODID3].[].[70668]","","Aug-25","","000")</f>
        <v>Aug-25</v>
      </c>
      <c r="BG1" s="1" t="str">
        <f xml:space="preserve"> _xll.EPMOlapMemberO("[PERIODID3].[].[70669]","","Sep-25","","000")</f>
        <v>Sep-25</v>
      </c>
      <c r="BH1" s="1" t="str">
        <f xml:space="preserve"> _xll.EPMOlapMemberO("[PERIODID3].[].[70670]","","Oct-25","","000")</f>
        <v>Oct-25</v>
      </c>
      <c r="BI1" s="1" t="str">
        <f xml:space="preserve"> _xll.EPMOlapMemberO("[PERIODID3].[].[70671]","","Nov-25","","000")</f>
        <v>Nov-25</v>
      </c>
      <c r="BJ1" s="1" t="str">
        <f xml:space="preserve"> _xll.EPMOlapMemberO("[PERIODID3].[].[70672]","","Dec-25","","000")</f>
        <v>Dec-25</v>
      </c>
      <c r="BK1" s="1" t="str">
        <f xml:space="preserve"> _xll.EPMOlapMemberO("[PERIODID3].[].[70673]","","Jan-26","","000")</f>
        <v>Jan-26</v>
      </c>
      <c r="BL1" s="1" t="str">
        <f xml:space="preserve"> _xll.EPMOlapMemberO("[PERIODID3].[].[70674]","","Feb-26","","000")</f>
        <v>Feb-26</v>
      </c>
      <c r="BM1" s="1" t="str">
        <f xml:space="preserve"> _xll.EPMOlapMemberO("[PERIODID3].[].[70675]","","Mar-26","","000")</f>
        <v>Mar-26</v>
      </c>
      <c r="BN1" s="1" t="str">
        <f xml:space="preserve"> _xll.EPMOlapMemberO("[PERIODID3].[].[70676]","","Apr-26","","000")</f>
        <v>Apr-26</v>
      </c>
    </row>
    <row r="2" spans="1:66" x14ac:dyDescent="0.35">
      <c r="A2" s="2" t="str">
        <f xml:space="preserve"> _xll.EPMOlapMemberO("[LOCID].[].[Munich plant]","","Munich plant","","000")</f>
        <v>Munich plant</v>
      </c>
      <c r="B2" s="2" t="str">
        <f xml:space="preserve"> _xll.EPMOlapMemberO("[PRDID].[].[999-50102-0116]","","999-50102-0116","","000")</f>
        <v>999-50102-0116</v>
      </c>
      <c r="C2" s="2" t="str">
        <f xml:space="preserve"> _xll.EPMOlapMemberO("[BRAND].[].[ GAULOISES BLONDES]",""," GAULOISES BLONDES","","000")</f>
        <v xml:space="preserve"> GAULOISES BLONDES</v>
      </c>
      <c r="D2" s="2" t="str">
        <f xml:space="preserve"> _xll.EPMOlapMemberO("[AM2MARKETDESCR].[].[PALESTINE]","","PALESTINE","","000")</f>
        <v>PALESTINE</v>
      </c>
      <c r="E2" s="2" t="str">
        <f xml:space="preserve"> _xll.EPMOlapMemberO("[AM2PARENTCUSTGROUP].[].[__NULL]","","(None)","","000")</f>
        <v>(None)</v>
      </c>
      <c r="F2" s="2" t="str">
        <f xml:space="preserve"> _xll.EPMOlapMemberO("[KEY_FIGURES].[].[CONFIRMEDPRODUCTION]","","Production Order","","000")</f>
        <v>Production Order</v>
      </c>
      <c r="AR2" s="2">
        <v>380</v>
      </c>
      <c r="AU2" s="2">
        <v>90</v>
      </c>
    </row>
    <row r="3" spans="1:66" x14ac:dyDescent="0.35">
      <c r="A3" s="2" t="str">
        <f xml:space="preserve"> _xll.EPMOlapMemberO("[LOCID].[].[Munich plant]","","Munich plant","","000")</f>
        <v>Munich plant</v>
      </c>
      <c r="B3" s="2" t="str">
        <f xml:space="preserve"> _xll.EPMOlapMemberO("[PRDID].[].[999-50102-0117]","","999-50102-0117","","000")</f>
        <v>999-50102-0117</v>
      </c>
      <c r="C3" s="2" t="str">
        <f xml:space="preserve"> _xll.EPMOlapMemberO("[BRAND].[].[ GAULOISES BLONDES]",""," GAULOISES BLONDES","","000")</f>
        <v xml:space="preserve"> GAULOISES BLONDES</v>
      </c>
      <c r="D3" s="2" t="str">
        <f xml:space="preserve"> _xll.EPMOlapMemberO("[AM2MARKETDESCR].[].[PALESTINE]","","PALESTINE","","000")</f>
        <v>PALESTINE</v>
      </c>
      <c r="E3" s="2" t="str">
        <f xml:space="preserve"> _xll.EPMOlapMemberO("[AM2PARENTCUSTGROUP].[].[__NULL]","","(None)","","000")</f>
        <v>(None)</v>
      </c>
      <c r="F3" s="2" t="str">
        <f xml:space="preserve"> _xll.EPMOlapMemberO("[KEY_FIGURES].[].[CONFIRMEDPRODUCTION]","","Production Order","","000")</f>
        <v>Production Order</v>
      </c>
      <c r="AU3" s="2">
        <v>150</v>
      </c>
    </row>
    <row r="4" spans="1:66" x14ac:dyDescent="0.35">
      <c r="A4" s="2" t="str">
        <f xml:space="preserve"> _xll.EPMOlapMemberO("[LOCID].[].[Munich plant]","","Munich plant","","000")</f>
        <v>Munich plant</v>
      </c>
      <c r="B4" s="2" t="str">
        <f xml:space="preserve"> _xll.EPMOlapMemberO("[PRDID].[].[999-50102-0118]","","999-50102-0118","","000")</f>
        <v>999-50102-0118</v>
      </c>
      <c r="C4" s="2" t="str">
        <f xml:space="preserve"> _xll.EPMOlapMemberO("[BRAND].[].[ GAULOISES BLONDES]",""," GAULOISES BLONDES","","000")</f>
        <v xml:space="preserve"> GAULOISES BLONDES</v>
      </c>
      <c r="D4" s="2" t="str">
        <f xml:space="preserve"> _xll.EPMOlapMemberO("[AM2MARKETDESCR].[].[PALESTINE]","","PALESTINE","","000")</f>
        <v>PALESTINE</v>
      </c>
      <c r="E4" s="2" t="str">
        <f xml:space="preserve"> _xll.EPMOlapMemberO("[AM2PARENTCUSTGROUP].[].[__NULL]","","(None)","","000")</f>
        <v>(None)</v>
      </c>
      <c r="F4" s="2" t="str">
        <f xml:space="preserve"> _xll.EPMOlapMemberO("[KEY_FIGURES].[].[CONFIRMEDPRODUCTION]","","Production Order","","000")</f>
        <v>Production Order</v>
      </c>
      <c r="AR4" s="2">
        <v>160</v>
      </c>
      <c r="AU4" s="2">
        <v>110</v>
      </c>
    </row>
    <row r="5" spans="1:66" x14ac:dyDescent="0.35">
      <c r="A5" s="2" t="str">
        <f xml:space="preserve"> _xll.EPMOlapMemberO("[LOCID].[].[Munich plant]","","Munich plant","","000")</f>
        <v>Munich plant</v>
      </c>
      <c r="B5" s="2" t="str">
        <f xml:space="preserve"> _xll.EPMOlapMemberO("[PRDID].[].[999-50286-0010]","","999-50286-0010","","000")</f>
        <v>999-50286-0010</v>
      </c>
      <c r="C5" s="2" t="str">
        <f xml:space="preserve"> _xll.EPMOlapMemberO("[BRAND].[].[ LUCKY STRIKE]",""," LUCKY STRIKE","","000")</f>
        <v xml:space="preserve"> LUCKY STRIKE</v>
      </c>
      <c r="D5" s="2" t="str">
        <f xml:space="preserve"> _xll.EPMOlapMemberO("[AM2MARKETDESCR].[].[ALGERIA]","","ALGERIA","","000")</f>
        <v>ALGERIA</v>
      </c>
      <c r="E5" s="2" t="str">
        <f xml:space="preserve"> _xll.EPMOlapMemberO("[AM2PARENTCUSTGROUP].[].[__NULL]","","(None)","","000")</f>
        <v>(None)</v>
      </c>
      <c r="F5" s="2" t="str">
        <f xml:space="preserve"> _xll.EPMOlapMemberO("[KEY_FIGURES].[].[CONFIRMEDPRODUCTION]","","Production Order","","000")</f>
        <v>Production Order</v>
      </c>
      <c r="AR5" s="2">
        <v>1170</v>
      </c>
      <c r="AS5" s="2">
        <v>390</v>
      </c>
      <c r="AV5" s="2">
        <v>130</v>
      </c>
      <c r="AW5" s="2">
        <v>520</v>
      </c>
      <c r="AY5" s="2">
        <v>390</v>
      </c>
      <c r="AZ5" s="2">
        <v>260</v>
      </c>
      <c r="BA5" s="2">
        <v>260</v>
      </c>
      <c r="BB5" s="2">
        <v>260</v>
      </c>
    </row>
    <row r="6" spans="1:66" x14ac:dyDescent="0.35">
      <c r="A6" s="2" t="str">
        <f xml:space="preserve"> _xll.EPMOlapMemberO("[LOCID].[].[Munich plant]","","Munich plant","","000")</f>
        <v>Munich plant</v>
      </c>
      <c r="B6" s="2" t="str">
        <f xml:space="preserve"> _xll.EPMOlapMemberO("[PRDID].[].[999-50286-0011]","","999-50286-0011","","000")</f>
        <v>999-50286-0011</v>
      </c>
      <c r="C6" s="2" t="str">
        <f xml:space="preserve"> _xll.EPMOlapMemberO("[BRAND].[].[ LUCKY STRIKE]",""," LUCKY STRIKE","","000")</f>
        <v xml:space="preserve"> LUCKY STRIKE</v>
      </c>
      <c r="D6" s="2" t="str">
        <f xml:space="preserve"> _xll.EPMOlapMemberO("[AM2MARKETDESCR].[].[ALGERIA]","","ALGERIA","","000")</f>
        <v>ALGERIA</v>
      </c>
      <c r="E6" s="2" t="str">
        <f xml:space="preserve"> _xll.EPMOlapMemberO("[AM2PARENTCUSTGROUP].[].[__NULL]","","(None)","","000")</f>
        <v>(None)</v>
      </c>
      <c r="F6" s="2" t="str">
        <f xml:space="preserve"> _xll.EPMOlapMemberO("[KEY_FIGURES].[].[CONFIRMEDPRODUCTION]","","Production Order","","000")</f>
        <v>Production Order</v>
      </c>
      <c r="AR6" s="2">
        <v>1560</v>
      </c>
      <c r="AS6" s="2">
        <v>260</v>
      </c>
    </row>
    <row r="7" spans="1:66" x14ac:dyDescent="0.35">
      <c r="A7" s="2" t="str">
        <f xml:space="preserve"> _xll.EPMOlapMemberO("[LOCID].[].[Munich plant]","","Munich plant","","000")</f>
        <v>Munich plant</v>
      </c>
      <c r="B7" s="2" t="str">
        <f xml:space="preserve"> _xll.EPMOlapMemberO("[PRDID].[].[999-50286-0014]","","999-50286-0014","","000")</f>
        <v>999-50286-0014</v>
      </c>
      <c r="C7" s="2" t="str">
        <f xml:space="preserve"> _xll.EPMOlapMemberO("[BRAND].[].[ LUCKY STRIKE]",""," LUCKY STRIKE","","000")</f>
        <v xml:space="preserve"> LUCKY STRIKE</v>
      </c>
      <c r="D7" s="2" t="str">
        <f xml:space="preserve"> _xll.EPMOlapMemberO("[AM2MARKETDESCR].[].[ALGERIA]","","ALGERIA","","000")</f>
        <v>ALGERIA</v>
      </c>
      <c r="E7" s="2" t="str">
        <f xml:space="preserve"> _xll.EPMOlapMemberO("[AM2PARENTCUSTGROUP].[].[__NULL]","","(None)","","000")</f>
        <v>(None)</v>
      </c>
      <c r="F7" s="2" t="str">
        <f xml:space="preserve"> _xll.EPMOlapMemberO("[KEY_FIGURES].[].[CONFIRMEDPRODUCTION]","","Production Order","","000")</f>
        <v>Production Order</v>
      </c>
      <c r="AR7" s="2">
        <v>24180</v>
      </c>
      <c r="AS7" s="2">
        <v>15080</v>
      </c>
      <c r="AT7" s="2">
        <v>3120</v>
      </c>
      <c r="AU7" s="2">
        <v>5070</v>
      </c>
      <c r="AV7" s="2">
        <v>2990</v>
      </c>
      <c r="AW7" s="2">
        <v>6110</v>
      </c>
      <c r="AX7" s="2">
        <v>4290</v>
      </c>
      <c r="AY7" s="2">
        <v>4030</v>
      </c>
      <c r="AZ7" s="2">
        <v>4550</v>
      </c>
      <c r="BA7" s="2">
        <v>5980</v>
      </c>
      <c r="BB7" s="2">
        <v>5850</v>
      </c>
    </row>
    <row r="8" spans="1:66" x14ac:dyDescent="0.35">
      <c r="A8" s="2" t="str">
        <f xml:space="preserve"> _xll.EPMOlapMemberO("[LOCID].[].[Munich plant]","","Munich plant","","000")</f>
        <v>Munich plant</v>
      </c>
      <c r="B8" s="2" t="str">
        <f xml:space="preserve"> _xll.EPMOlapMemberO("[PRDID].[].[999-50286-0015]","","999-50286-0015","","000")</f>
        <v>999-50286-0015</v>
      </c>
      <c r="C8" s="2" t="str">
        <f xml:space="preserve"> _xll.EPMOlapMemberO("[BRAND].[].[ LUCKY STRIKE]",""," LUCKY STRIKE","","000")</f>
        <v xml:space="preserve"> LUCKY STRIKE</v>
      </c>
      <c r="D8" s="2" t="str">
        <f xml:space="preserve"> _xll.EPMOlapMemberO("[AM2MARKETDESCR].[].[ALGERIA]","","ALGERIA","","000")</f>
        <v>ALGERIA</v>
      </c>
      <c r="E8" s="2" t="str">
        <f xml:space="preserve"> _xll.EPMOlapMemberO("[AM2PARENTCUSTGROUP].[].[__NULL]","","(None)","","000")</f>
        <v>(None)</v>
      </c>
      <c r="F8" s="2" t="str">
        <f xml:space="preserve"> _xll.EPMOlapMemberO("[KEY_FIGURES].[].[CONFIRMEDPRODUCTION]","","Production Order","","000")</f>
        <v>Production Order</v>
      </c>
      <c r="AR8" s="2">
        <v>9620</v>
      </c>
      <c r="AS8" s="2">
        <v>2080</v>
      </c>
      <c r="AT8" s="2">
        <v>1300</v>
      </c>
      <c r="AU8" s="2">
        <v>1170</v>
      </c>
      <c r="AV8" s="2">
        <v>1040</v>
      </c>
      <c r="AW8" s="2">
        <v>1560</v>
      </c>
      <c r="AX8" s="2">
        <v>1300</v>
      </c>
      <c r="AY8" s="2">
        <v>1300</v>
      </c>
      <c r="AZ8" s="2">
        <v>1300</v>
      </c>
      <c r="BA8" s="2">
        <v>1690</v>
      </c>
      <c r="BB8" s="2">
        <v>1430</v>
      </c>
    </row>
    <row r="9" spans="1:66" x14ac:dyDescent="0.35">
      <c r="A9" s="2" t="str">
        <f xml:space="preserve"> _xll.EPMOlapMemberO("[LOCID].[].[Munich plant]","","Munich plant","","000")</f>
        <v>Munich plant</v>
      </c>
      <c r="B9" s="2" t="str">
        <f xml:space="preserve"> _xll.EPMOlapMemberO("[PRDID].[].[999-50552-0025]","","999-50552-0025","","000")</f>
        <v>999-50552-0025</v>
      </c>
      <c r="C9" s="2" t="str">
        <f xml:space="preserve"> _xll.EPMOlapMemberO("[BRAND].[].[ KARELIA ROYAL]",""," KARELIA ROYAL","","000")</f>
        <v xml:space="preserve"> KARELIA ROYAL</v>
      </c>
      <c r="D9" s="2" t="str">
        <f xml:space="preserve"> _xll.EPMOlapMemberO("[AM2MARKETDESCR].[].[EGYPT]","","EGYPT","","000")</f>
        <v>EGYPT</v>
      </c>
      <c r="E9" s="2" t="str">
        <f xml:space="preserve"> _xll.EPMOlapMemberO("[AM2PARENTCUSTGROUP].[].[__NULL]","","(None)","","000")</f>
        <v>(None)</v>
      </c>
      <c r="F9" s="2" t="str">
        <f xml:space="preserve"> _xll.EPMOlapMemberO("[KEY_FIGURES].[].[CONFIRMEDPRODUCTION]","","Production Order","","000")</f>
        <v>Production Order</v>
      </c>
      <c r="AS9" s="2">
        <v>9000</v>
      </c>
      <c r="AT9" s="2">
        <v>4000</v>
      </c>
    </row>
    <row r="10" spans="1:66" x14ac:dyDescent="0.35">
      <c r="A10" s="2" t="str">
        <f xml:space="preserve"> _xll.EPMOlapMemberO("[LOCID].[].[Munich plant]","","Munich plant","","000")</f>
        <v>Munich plant</v>
      </c>
      <c r="B10" s="2" t="str">
        <f xml:space="preserve"> _xll.EPMOlapMemberO("[PRDID].[].[999-50553-0180]","","999-50553-0180","","000")</f>
        <v>999-50553-0180</v>
      </c>
      <c r="C10" s="2" t="str">
        <f xml:space="preserve"> _xll.EPMOlapMemberO("[BRAND].[].[ KARELIA SLIMS]",""," KARELIA SLIMS","","000")</f>
        <v xml:space="preserve"> KARELIA SLIMS</v>
      </c>
      <c r="D10" s="2" t="str">
        <f xml:space="preserve"> _xll.EPMOlapMemberO("[AM2MARKETDESCR].[].[DUTY FREE]","","DUTY FREE","","000")</f>
        <v>DUTY FREE</v>
      </c>
      <c r="E10" s="2" t="str">
        <f xml:space="preserve"> _xll.EPMOlapMemberO("[AM2PARENTCUSTGROUP].[].[__NULL]","","(None)","","000")</f>
        <v>(None)</v>
      </c>
      <c r="F10" s="2" t="str">
        <f xml:space="preserve"> _xll.EPMOlapMemberO("[KEY_FIGURES].[].[CONFIRMEDPRODUCTION]","","Production Order","","000")</f>
        <v>Production Order</v>
      </c>
      <c r="AR10" s="2">
        <v>1267.5</v>
      </c>
    </row>
    <row r="11" spans="1:66" x14ac:dyDescent="0.35">
      <c r="A11" s="2" t="str">
        <f xml:space="preserve"> _xll.EPMOlapMemberO("[LOCID].[].[Munich plant]","","Munich plant","","000")</f>
        <v>Munich plant</v>
      </c>
      <c r="B11" s="2" t="str">
        <f xml:space="preserve"> _xll.EPMOlapMemberO("[PRDID].[].[999-50553-0181]","","999-50553-0181","","000")</f>
        <v>999-50553-0181</v>
      </c>
      <c r="C11" s="2" t="str">
        <f xml:space="preserve"> _xll.EPMOlapMemberO("[BRAND].[].[ KARELIA SLIMS]",""," KARELIA SLIMS","","000")</f>
        <v xml:space="preserve"> KARELIA SLIMS</v>
      </c>
      <c r="D11" s="2" t="str">
        <f xml:space="preserve"> _xll.EPMOlapMemberO("[AM2MARKETDESCR].[].[KOSOVO]","","KOSOVO","","000")</f>
        <v>KOSOVO</v>
      </c>
      <c r="E11" s="2" t="str">
        <f xml:space="preserve"> _xll.EPMOlapMemberO("[AM2PARENTCUSTGROUP].[].[__NULL]","","(None)","","000")</f>
        <v>(None)</v>
      </c>
      <c r="F11" s="2" t="str">
        <f xml:space="preserve"> _xll.EPMOlapMemberO("[KEY_FIGURES].[].[CONFIRMEDPRODUCTION]","","Production Order","","000")</f>
        <v>Production Order</v>
      </c>
      <c r="AR11" s="2">
        <v>20000</v>
      </c>
      <c r="AS11" s="2">
        <v>20000</v>
      </c>
      <c r="AT11" s="2">
        <v>20000</v>
      </c>
      <c r="AU11" s="2">
        <v>20000</v>
      </c>
    </row>
    <row r="12" spans="1:66" x14ac:dyDescent="0.35">
      <c r="A12" s="2" t="str">
        <f xml:space="preserve"> _xll.EPMOlapMemberO("[LOCID].[].[Munich plant]","","Munich plant","","000")</f>
        <v>Munich plant</v>
      </c>
      <c r="B12" s="2" t="str">
        <f xml:space="preserve"> _xll.EPMOlapMemberO("[PRDID].[].[999-50553-0193]","","999-50553-0193","","000")</f>
        <v>999-50553-0193</v>
      </c>
      <c r="C12" s="2" t="str">
        <f xml:space="preserve"> _xll.EPMOlapMemberO("[BRAND].[].[ KARELIA SLIMS]",""," KARELIA SLIMS","","000")</f>
        <v xml:space="preserve"> KARELIA SLIMS</v>
      </c>
      <c r="D12" s="2" t="str">
        <f xml:space="preserve"> _xll.EPMOlapMemberO("[AM2MARKETDESCR].[].[EGYPT]","","EGYPT","","000")</f>
        <v>EGYPT</v>
      </c>
      <c r="E12" s="2" t="str">
        <f xml:space="preserve"> _xll.EPMOlapMemberO("[AM2PARENTCUSTGROUP].[].[__NULL]","","(None)","","000")</f>
        <v>(None)</v>
      </c>
      <c r="F12" s="2" t="str">
        <f xml:space="preserve"> _xll.EPMOlapMemberO("[KEY_FIGURES].[].[INITIALINVENTORY]","","Stock","","000")</f>
        <v>Stock</v>
      </c>
      <c r="AQ12" s="2">
        <v>39</v>
      </c>
    </row>
    <row r="13" spans="1:66" x14ac:dyDescent="0.35">
      <c r="A13" s="2" t="str">
        <f xml:space="preserve"> _xll.EPMOlapMemberO("[LOCID].[].[Munich plant]","","Munich plant","","000")</f>
        <v>Munich plant</v>
      </c>
      <c r="B13" s="2" t="str">
        <f xml:space="preserve"> _xll.EPMOlapMemberO("[PRDID].[].[999-50555-0053]","","999-50555-0053","","000")</f>
        <v>999-50555-0053</v>
      </c>
      <c r="C13" s="2" t="str">
        <f xml:space="preserve"> _xll.EPMOlapMemberO("[BRAND].[].[ KARELIA SLIMS]",""," KARELIA SLIMS","","000")</f>
        <v xml:space="preserve"> KARELIA SLIMS</v>
      </c>
      <c r="D13" s="2" t="str">
        <f xml:space="preserve"> _xll.EPMOlapMemberO("[AM2MARKETDESCR].[].[LIBYA]","","LIBYA","","000")</f>
        <v>LIBYA</v>
      </c>
      <c r="E13" s="2" t="str">
        <f xml:space="preserve"> _xll.EPMOlapMemberO("[AM2PARENTCUSTGROUP].[].[__NULL]","","(None)","","000")</f>
        <v>(None)</v>
      </c>
      <c r="F13" s="2" t="str">
        <f xml:space="preserve"> _xll.EPMOlapMemberO("[KEY_FIGURES].[].[INITIALINVENTORY]","","Stock","","000")</f>
        <v>Stock</v>
      </c>
      <c r="AQ13" s="2">
        <v>126.75</v>
      </c>
    </row>
    <row r="14" spans="1:66" x14ac:dyDescent="0.35">
      <c r="A14" s="2" t="str">
        <f xml:space="preserve"> _xll.EPMOlapMemberO("[LOCID].[].[Munich plant]","","Munich plant","","000")</f>
        <v>Munich plant</v>
      </c>
      <c r="B14" s="2" t="str">
        <f xml:space="preserve"> _xll.EPMOlapMemberO("[PRDID].[].[999-50689-0030]","","999-50689-0030","","000")</f>
        <v>999-50689-0030</v>
      </c>
      <c r="C14" s="2" t="str">
        <f xml:space="preserve"> _xll.EPMOlapMemberO("[BRAND].[].[ MERIT]",""," MERIT","","000")</f>
        <v xml:space="preserve"> MERIT</v>
      </c>
      <c r="D14" s="2" t="str">
        <f xml:space="preserve"> _xll.EPMOlapMemberO("[AM2MARKETDESCR].[].[TUNISIA ESTIC]","","TUNISIA ESTIC","","000")</f>
        <v>TUNISIA ESTIC</v>
      </c>
      <c r="E14" s="2" t="str">
        <f xml:space="preserve"> _xll.EPMOlapMemberO("[AM2PARENTCUSTGROUP].[].[Mondelez]","","Mondelez","","000")</f>
        <v>Mondelez</v>
      </c>
      <c r="F14" s="2" t="str">
        <f xml:space="preserve"> _xll.EPMOlapMemberO("[KEY_FIGURES].[].[AM2ORDERINTAKE]","","Sales Order","","000")</f>
        <v>Sales Order</v>
      </c>
      <c r="AE14" s="2">
        <v>1053</v>
      </c>
      <c r="AF14" s="2">
        <v>519</v>
      </c>
    </row>
    <row r="15" spans="1:66" x14ac:dyDescent="0.35">
      <c r="A15" s="2" t="str">
        <f xml:space="preserve"> _xll.EPMOlapMemberO("[LOCID].[].[Munich plant]","","Munich plant","","000")</f>
        <v>Munich plant</v>
      </c>
      <c r="B15" s="2" t="str">
        <f xml:space="preserve"> _xll.EPMOlapMemberO("[PRDID].[].[999-50689-0030]","","999-50689-0030","","000")</f>
        <v>999-50689-0030</v>
      </c>
      <c r="C15" s="2" t="str">
        <f xml:space="preserve"> _xll.EPMOlapMemberO("[BRAND].[].[ MERIT]",""," MERIT","","000")</f>
        <v xml:space="preserve"> MERIT</v>
      </c>
      <c r="D15" s="2" t="str">
        <f xml:space="preserve"> _xll.EPMOlapMemberO("[AM2MARKETDESCR].[].[TUNISIA ESTIC]","","TUNISIA ESTIC","","000")</f>
        <v>TUNISIA ESTIC</v>
      </c>
      <c r="E15" s="2" t="str">
        <f xml:space="preserve"> _xll.EPMOlapMemberO("[AM2PARENTCUSTGROUP].[].[Mondelez]","","Mondelez","","000")</f>
        <v>Mondelez</v>
      </c>
      <c r="F15" s="2" t="str">
        <f xml:space="preserve"> _xll.EPMOlapMemberO("[KEY_FIGURES].[].[AM2ACTUALSHIPMENTS]","","Shipments","","000")</f>
        <v>Shipments</v>
      </c>
      <c r="AF15" s="2">
        <v>1579.5</v>
      </c>
    </row>
    <row r="16" spans="1:66" x14ac:dyDescent="0.35">
      <c r="A16" s="2" t="str">
        <f xml:space="preserve"> _xll.EPMOlapMemberO("[LOCID].[].[Munich plant]","","Munich plant","","000")</f>
        <v>Munich plant</v>
      </c>
      <c r="B16" s="2" t="str">
        <f xml:space="preserve"> _xll.EPMOlapMemberO("[PRDID].[].[999-50689-0069]","","999-50689-0069","","000")</f>
        <v>999-50689-0069</v>
      </c>
      <c r="C16" s="2" t="str">
        <f xml:space="preserve"> _xll.EPMOlapMemberO("[BRAND].[].[ MERIT]",""," MERIT","","000")</f>
        <v xml:space="preserve"> MERIT</v>
      </c>
      <c r="D16" s="2" t="str">
        <f xml:space="preserve"> _xll.EPMOlapMemberO("[AM2MARKETDESCR].[].[TUNISIA ESTIC]","","TUNISIA ESTIC","","000")</f>
        <v>TUNISIA ESTIC</v>
      </c>
      <c r="E16" s="2" t="str">
        <f xml:space="preserve"> _xll.EPMOlapMemberO("[AM2PARENTCUSTGROUP].[].[Mondelez]","","Mondelez","","000")</f>
        <v>Mondelez</v>
      </c>
      <c r="F16" s="2" t="str">
        <f xml:space="preserve"> _xll.EPMOlapMemberO("[KEY_FIGURES].[].[AM2ORDERINTAKE]","","Sales Order","","000")</f>
        <v>Sales Order</v>
      </c>
      <c r="AG16" s="2">
        <v>3840</v>
      </c>
      <c r="AI16" s="2">
        <v>2784</v>
      </c>
    </row>
    <row r="17" spans="1:52" x14ac:dyDescent="0.35">
      <c r="A17" s="2" t="str">
        <f xml:space="preserve"> _xll.EPMOlapMemberO("[LOCID].[].[Munich plant]","","Munich plant","","000")</f>
        <v>Munich plant</v>
      </c>
      <c r="B17" s="2" t="str">
        <f xml:space="preserve"> _xll.EPMOlapMemberO("[PRDID].[].[999-50689-0069]","","999-50689-0069","","000")</f>
        <v>999-50689-0069</v>
      </c>
      <c r="C17" s="2" t="str">
        <f xml:space="preserve"> _xll.EPMOlapMemberO("[BRAND].[].[ MERIT]",""," MERIT","","000")</f>
        <v xml:space="preserve"> MERIT</v>
      </c>
      <c r="D17" s="2" t="str">
        <f xml:space="preserve"> _xll.EPMOlapMemberO("[AM2MARKETDESCR].[].[TUNISIA ESTIC]","","TUNISIA ESTIC","","000")</f>
        <v>TUNISIA ESTIC</v>
      </c>
      <c r="E17" s="2" t="str">
        <f xml:space="preserve"> _xll.EPMOlapMemberO("[AM2PARENTCUSTGROUP].[].[Mondelez]","","Mondelez","","000")</f>
        <v>Mondelez</v>
      </c>
      <c r="F17" s="2" t="str">
        <f xml:space="preserve"> _xll.EPMOlapMemberO("[KEY_FIGURES].[].[AM2ACTUALSHIPMENTS]","","Shipments","","000")</f>
        <v>Shipments</v>
      </c>
      <c r="AG17" s="2">
        <v>3607.5</v>
      </c>
      <c r="AI17" s="2">
        <v>1638</v>
      </c>
      <c r="AJ17" s="2">
        <v>1404</v>
      </c>
    </row>
    <row r="18" spans="1:52" x14ac:dyDescent="0.35">
      <c r="A18" s="2" t="str">
        <f xml:space="preserve"> _xll.EPMOlapMemberO("[LOCID].[].[Munich plant]","","Munich plant","","000")</f>
        <v>Munich plant</v>
      </c>
      <c r="B18" s="2" t="str">
        <f xml:space="preserve"> _xll.EPMOlapMemberO("[PRDID].[].[999-50887-0094]","","999-50887-0094","","000")</f>
        <v>999-50887-0094</v>
      </c>
      <c r="C18" s="2" t="str">
        <f xml:space="preserve"> _xll.EPMOlapMemberO("[BRAND].[].[ GAULOISES BLONDES]",""," GAULOISES BLONDES","","000")</f>
        <v xml:space="preserve"> GAULOISES BLONDES</v>
      </c>
      <c r="D18" s="2" t="str">
        <f xml:space="preserve"> _xll.EPMOlapMemberO("[AM2MARKETDESCR].[].[IRAQ]","","IRAQ","","000")</f>
        <v>IRAQ</v>
      </c>
      <c r="E18" s="2" t="str">
        <f xml:space="preserve"> _xll.EPMOlapMemberO("[AM2PARENTCUSTGROUP].[].[__NULL]","","(None)","","000")</f>
        <v>(None)</v>
      </c>
      <c r="F18" s="2" t="str">
        <f xml:space="preserve"> _xll.EPMOlapMemberO("[KEY_FIGURES].[].[CONFIRMEDPRODUCTION]","","Production Order","","000")</f>
        <v>Production Order</v>
      </c>
      <c r="AV18" s="2">
        <v>640.45000000000005</v>
      </c>
      <c r="AY18" s="2">
        <v>900</v>
      </c>
    </row>
    <row r="19" spans="1:52" x14ac:dyDescent="0.35">
      <c r="A19" s="2" t="str">
        <f xml:space="preserve"> _xll.EPMOlapMemberO("[LOCID].[].[Munich plant]","","Munich plant","","000")</f>
        <v>Munich plant</v>
      </c>
      <c r="B19" s="2" t="str">
        <f xml:space="preserve"> _xll.EPMOlapMemberO("[PRDID].[].[999-50888-0062]","","999-50888-0062","","000")</f>
        <v>999-50888-0062</v>
      </c>
      <c r="C19" s="2" t="str">
        <f xml:space="preserve"> _xll.EPMOlapMemberO("[BRAND].[].[ GAULOISES BLONDES]",""," GAULOISES BLONDES","","000")</f>
        <v xml:space="preserve"> GAULOISES BLONDES</v>
      </c>
      <c r="D19" s="2" t="str">
        <f xml:space="preserve"> _xll.EPMOlapMemberO("[AM2MARKETDESCR].[].[IRAQ]","","IRAQ","","000")</f>
        <v>IRAQ</v>
      </c>
      <c r="E19" s="2" t="str">
        <f xml:space="preserve"> _xll.EPMOlapMemberO("[AM2PARENTCUSTGROUP].[].[__NULL]","","(None)","","000")</f>
        <v>(None)</v>
      </c>
      <c r="F19" s="2" t="str">
        <f xml:space="preserve"> _xll.EPMOlapMemberO("[KEY_FIGURES].[].[CONFIRMEDPRODUCTION]","","Production Order","","000")</f>
        <v>Production Order</v>
      </c>
      <c r="AT19" s="2">
        <v>668</v>
      </c>
      <c r="AW19" s="2">
        <v>450</v>
      </c>
      <c r="AZ19" s="2">
        <v>450</v>
      </c>
    </row>
    <row r="20" spans="1:52" x14ac:dyDescent="0.35">
      <c r="A20" s="2" t="str">
        <f xml:space="preserve"> _xll.EPMOlapMemberO("[LOCID].[].[Munich plant]","","Munich plant","","000")</f>
        <v>Munich plant</v>
      </c>
      <c r="B20" s="2" t="str">
        <f xml:space="preserve"> _xll.EPMOlapMemberO("[PRDID].[].[999-51310-0003]","","999-51310-0003","","000")</f>
        <v>999-51310-0003</v>
      </c>
      <c r="C20" s="2" t="str">
        <f xml:space="preserve"> _xll.EPMOlapMemberO("[BRAND].[].[ ROYALE CLUB]",""," ROYALE CLUB","","000")</f>
        <v xml:space="preserve"> ROYALE CLUB</v>
      </c>
      <c r="D20" s="2" t="str">
        <f xml:space="preserve"> _xll.EPMOlapMemberO("[AM2MARKETDESCR].[].[IRAQ]","","IRAQ","","000")</f>
        <v>IRAQ</v>
      </c>
      <c r="E20" s="2" t="str">
        <f xml:space="preserve"> _xll.EPMOlapMemberO("[AM2PARENTCUSTGROUP].[].[__NULL]","","(None)","","000")</f>
        <v>(None)</v>
      </c>
      <c r="F20" s="2" t="str">
        <f xml:space="preserve"> _xll.EPMOlapMemberO("[KEY_FIGURES].[].[CONFIRMEDPRODUCTION]","","Production Order","","000")</f>
        <v>Production Order</v>
      </c>
      <c r="AT20" s="2">
        <v>1650</v>
      </c>
      <c r="AW20" s="2">
        <v>1650</v>
      </c>
      <c r="AZ20" s="2">
        <v>1650</v>
      </c>
    </row>
    <row r="21" spans="1:52" x14ac:dyDescent="0.35">
      <c r="A21" s="2" t="str">
        <f xml:space="preserve"> _xll.EPMOlapMemberO("[LOCID].[].[Munich plant]","","Munich plant","","000")</f>
        <v>Munich plant</v>
      </c>
      <c r="B21" s="2" t="str">
        <f xml:space="preserve"> _xll.EPMOlapMemberO("[PRDID].[].[999-51474-0033]","","999-51474-0033","","000")</f>
        <v>999-51474-0033</v>
      </c>
      <c r="C21" s="2" t="str">
        <f xml:space="preserve"> _xll.EPMOlapMemberO("[BRAND].[].[ AMERICAN LEGEND]",""," AMERICAN LEGEND","","000")</f>
        <v xml:space="preserve"> AMERICAN LEGEND</v>
      </c>
      <c r="D21" s="2" t="str">
        <f xml:space="preserve"> _xll.EPMOlapMemberO("[AM2MARKETDESCR].[].[LIBYA]","","LIBYA","","000")</f>
        <v>LIBYA</v>
      </c>
      <c r="E21" s="2" t="str">
        <f xml:space="preserve"> _xll.EPMOlapMemberO("[AM2PARENTCUSTGROUP].[].[__NULL]","","(None)","","000")</f>
        <v>(None)</v>
      </c>
      <c r="F21" s="2" t="str">
        <f xml:space="preserve"> _xll.EPMOlapMemberO("[KEY_FIGURES].[].[CONFIRMEDPRODUCTION]","","Production Order","","000")</f>
        <v>Production Order</v>
      </c>
      <c r="AQ21" s="2">
        <v>12450</v>
      </c>
    </row>
    <row r="22" spans="1:52" x14ac:dyDescent="0.35">
      <c r="A22" s="2" t="str">
        <f xml:space="preserve"> _xll.EPMOlapMemberO("[LOCID].[].[Munich plant]","","Munich plant","","000")</f>
        <v>Munich plant</v>
      </c>
      <c r="B22" s="2" t="str">
        <f xml:space="preserve"> _xll.EPMOlapMemberO("[PRDID].[].[999-51474-0034]","","999-51474-0034","","000")</f>
        <v>999-51474-0034</v>
      </c>
      <c r="C22" s="2" t="str">
        <f xml:space="preserve"> _xll.EPMOlapMemberO("[BRAND].[].[ AMERICAN LEGEND]",""," AMERICAN LEGEND","","000")</f>
        <v xml:space="preserve"> AMERICAN LEGEND</v>
      </c>
      <c r="D22" s="2" t="str">
        <f xml:space="preserve"> _xll.EPMOlapMemberO("[AM2MARKETDESCR].[].[EXPORT]","","EXPORT","","000")</f>
        <v>EXPORT</v>
      </c>
      <c r="E22" s="2" t="str">
        <f xml:space="preserve"> _xll.EPMOlapMemberO("[AM2PARENTCUSTGROUP].[].[__NULL]","","(None)","","000")</f>
        <v>(None)</v>
      </c>
      <c r="F22" s="2" t="str">
        <f xml:space="preserve"> _xll.EPMOlapMemberO("[KEY_FIGURES].[].[CONFIRMEDPRODUCTION]","","Production Order","","000")</f>
        <v>Production Order</v>
      </c>
      <c r="AV22" s="2">
        <v>12000</v>
      </c>
    </row>
    <row r="23" spans="1:52" x14ac:dyDescent="0.35">
      <c r="A23" s="2" t="str">
        <f xml:space="preserve"> _xll.EPMOlapMemberO("[LOCID].[].[Munich plant]","","Munich plant","","000")</f>
        <v>Munich plant</v>
      </c>
      <c r="B23" s="2" t="str">
        <f xml:space="preserve"> _xll.EPMOlapMemberO("[PRDID].[].[999-51474-0037]","","999-51474-0037","","000")</f>
        <v>999-51474-0037</v>
      </c>
      <c r="C23" s="2" t="str">
        <f xml:space="preserve"> _xll.EPMOlapMemberO("[BRAND].[].[ AMERICAN LEGEND]",""," AMERICAN LEGEND","","000")</f>
        <v xml:space="preserve"> AMERICAN LEGEND</v>
      </c>
      <c r="D23" s="2" t="str">
        <f xml:space="preserve"> _xll.EPMOlapMemberO("[AM2MARKETDESCR].[].[MAURITANIA]","","MAURITANIA","","000")</f>
        <v>MAURITANIA</v>
      </c>
      <c r="E23" s="2" t="str">
        <f xml:space="preserve"> _xll.EPMOlapMemberO("[AM2PARENTCUSTGROUP].[].[__NULL]","","(None)","","000")</f>
        <v>(None)</v>
      </c>
      <c r="F23" s="2" t="str">
        <f xml:space="preserve"> _xll.EPMOlapMemberO("[KEY_FIGURES].[].[CONFIRMEDPRODUCTION]","","Production Order","","000")</f>
        <v>Production Order</v>
      </c>
      <c r="AS23" s="2">
        <v>12000</v>
      </c>
      <c r="AT23" s="2">
        <v>12000</v>
      </c>
      <c r="AU23" s="2">
        <v>12000</v>
      </c>
    </row>
    <row r="24" spans="1:52" x14ac:dyDescent="0.35">
      <c r="A24" s="2" t="str">
        <f xml:space="preserve"> _xll.EPMOlapMemberO("[LOCID].[].[Munich plant]","","Munich plant","","000")</f>
        <v>Munich plant</v>
      </c>
      <c r="B24" s="2" t="str">
        <f xml:space="preserve"> _xll.EPMOlapMemberO("[PRDID].[].[999-51474-0043]","","999-51474-0043","","000")</f>
        <v>999-51474-0043</v>
      </c>
      <c r="C24" s="2" t="str">
        <f xml:space="preserve"> _xll.EPMOlapMemberO("[BRAND].[].[ AMERICAN LEGEND]",""," AMERICAN LEGEND","","000")</f>
        <v xml:space="preserve"> AMERICAN LEGEND</v>
      </c>
      <c r="D24" s="2" t="str">
        <f xml:space="preserve"> _xll.EPMOlapMemberO("[AM2MARKETDESCR].[].[KOREA]","","KOREA","","000")</f>
        <v>KOREA</v>
      </c>
      <c r="E24" s="2" t="str">
        <f xml:space="preserve"> _xll.EPMOlapMemberO("[AM2PARENTCUSTGROUP].[].[__NULL]","","(None)","","000")</f>
        <v>(None)</v>
      </c>
      <c r="F24" s="2" t="str">
        <f xml:space="preserve"> _xll.EPMOlapMemberO("[KEY_FIGURES].[].[CONFIRMEDPRODUCTION]","","Production Order","","000")</f>
        <v>Production Order</v>
      </c>
      <c r="AR24" s="2">
        <v>300</v>
      </c>
    </row>
    <row r="25" spans="1:52" x14ac:dyDescent="0.35">
      <c r="A25" s="2" t="str">
        <f xml:space="preserve"> _xll.EPMOlapMemberO("[LOCID].[].[Munich plant]","","Munich plant","","000")</f>
        <v>Munich plant</v>
      </c>
      <c r="B25" s="2" t="str">
        <f xml:space="preserve"> _xll.EPMOlapMemberO("[PRDID].[].[999-51474-0044]","","999-51474-0044","","000")</f>
        <v>999-51474-0044</v>
      </c>
      <c r="C25" s="2" t="str">
        <f xml:space="preserve"> _xll.EPMOlapMemberO("[BRAND].[].[ AMERICAN LEGEND]",""," AMERICAN LEGEND","","000")</f>
        <v xml:space="preserve"> AMERICAN LEGEND</v>
      </c>
      <c r="D25" s="2" t="str">
        <f xml:space="preserve"> _xll.EPMOlapMemberO("[AM2MARKETDESCR].[].[KOREA]","","KOREA","","000")</f>
        <v>KOREA</v>
      </c>
      <c r="E25" s="2" t="str">
        <f xml:space="preserve"> _xll.EPMOlapMemberO("[AM2PARENTCUSTGROUP].[].[__NULL]","","(None)","","000")</f>
        <v>(None)</v>
      </c>
      <c r="F25" s="2" t="str">
        <f xml:space="preserve"> _xll.EPMOlapMemberO("[KEY_FIGURES].[].[CONFIRMEDPRODUCTION]","","Production Order","","000")</f>
        <v>Production Order</v>
      </c>
      <c r="AR25" s="2">
        <v>450</v>
      </c>
    </row>
    <row r="26" spans="1:52" x14ac:dyDescent="0.35">
      <c r="A26" s="2" t="str">
        <f xml:space="preserve"> _xll.EPMOlapMemberO("[LOCID].[].[Munich plant]","","Munich plant","","000")</f>
        <v>Munich plant</v>
      </c>
      <c r="B26" s="2" t="str">
        <f xml:space="preserve"> _xll.EPMOlapMemberO("[PRDID].[].[999-51474-0045]","","999-51474-0045","","000")</f>
        <v>999-51474-0045</v>
      </c>
      <c r="C26" s="2" t="str">
        <f xml:space="preserve"> _xll.EPMOlapMemberO("[BRAND].[].[ AMERICAN LEGEND]",""," AMERICAN LEGEND","","000")</f>
        <v xml:space="preserve"> AMERICAN LEGEND</v>
      </c>
      <c r="D26" s="2" t="str">
        <f xml:space="preserve"> _xll.EPMOlapMemberO("[AM2MARKETDESCR].[].[GIBRALTAR]","","GIBRALTAR","","000")</f>
        <v>GIBRALTAR</v>
      </c>
      <c r="E26" s="2" t="str">
        <f xml:space="preserve"> _xll.EPMOlapMemberO("[AM2PARENTCUSTGROUP].[].[__NULL]","","(None)","","000")</f>
        <v>(None)</v>
      </c>
      <c r="F26" s="2" t="str">
        <f xml:space="preserve"> _xll.EPMOlapMemberO("[KEY_FIGURES].[].[INITIALINVENTORY]","","Stock","","000")</f>
        <v>Stock</v>
      </c>
      <c r="AQ26" s="2">
        <v>300</v>
      </c>
    </row>
    <row r="27" spans="1:52" x14ac:dyDescent="0.35">
      <c r="A27" s="2" t="str">
        <f xml:space="preserve"> _xll.EPMOlapMemberO("[LOCID].[].[Munich plant]","","Munich plant","","000")</f>
        <v>Munich plant</v>
      </c>
      <c r="B27" s="2" t="str">
        <f xml:space="preserve"> _xll.EPMOlapMemberO("[PRDID].[].[999-51474-0045]","","999-51474-0045","","000")</f>
        <v>999-51474-0045</v>
      </c>
      <c r="C27" s="2" t="str">
        <f xml:space="preserve"> _xll.EPMOlapMemberO("[BRAND].[].[ AMERICAN LEGEND]",""," AMERICAN LEGEND","","000")</f>
        <v xml:space="preserve"> AMERICAN LEGEND</v>
      </c>
      <c r="D27" s="2" t="str">
        <f xml:space="preserve"> _xll.EPMOlapMemberO("[AM2MARKETDESCR].[].[GIBRALTAR]","","GIBRALTAR","","000")</f>
        <v>GIBRALTAR</v>
      </c>
      <c r="E27" s="2" t="str">
        <f xml:space="preserve"> _xll.EPMOlapMemberO("[AM2PARENTCUSTGROUP].[].[__NULL]","","(None)","","000")</f>
        <v>(None)</v>
      </c>
      <c r="F27" s="2" t="str">
        <f xml:space="preserve"> _xll.EPMOlapMemberO("[KEY_FIGURES].[].[CONFIRMEDPRODUCTION]","","Production Order","","000")</f>
        <v>Production Order</v>
      </c>
      <c r="AR27" s="2">
        <v>1200</v>
      </c>
    </row>
    <row r="28" spans="1:52" x14ac:dyDescent="0.35">
      <c r="A28" s="2" t="str">
        <f xml:space="preserve"> _xll.EPMOlapMemberO("[LOCID].[].[Munich plant]","","Munich plant","","000")</f>
        <v>Munich plant</v>
      </c>
      <c r="B28" s="2" t="str">
        <f xml:space="preserve"> _xll.EPMOlapMemberO("[PRDID].[].[999-51686-0021]","","999-51686-0021","","000")</f>
        <v>999-51686-0021</v>
      </c>
      <c r="C28" s="2" t="str">
        <f xml:space="preserve"> _xll.EPMOlapMemberO("[BRAND].[].[ MURATTI AMBASSADOR]",""," MURATTI AMBASSADOR","","000")</f>
        <v xml:space="preserve"> MURATTI AMBASSADOR</v>
      </c>
      <c r="D28" s="2" t="str">
        <f xml:space="preserve"> _xll.EPMOlapMemberO("[AM2MARKETDESCR].[].[SWITZERLAND ]","","SWITZERLAND ","","000")</f>
        <v xml:space="preserve">SWITZERLAND </v>
      </c>
      <c r="E28" s="2" t="str">
        <f xml:space="preserve"> _xll.EPMOlapMemberO("[AM2PARENTCUSTGROUP].[].[Mondelez]","","Mondelez","","000")</f>
        <v>Mondelez</v>
      </c>
      <c r="F28" s="2" t="str">
        <f xml:space="preserve"> _xll.EPMOlapMemberO("[KEY_FIGURES].[].[AM2ORDERINTAKE]","","Sales Order","","000")</f>
        <v>Sales Order</v>
      </c>
      <c r="K28" s="2">
        <v>287.04000000000002</v>
      </c>
      <c r="P28" s="2">
        <v>88.32</v>
      </c>
      <c r="R28" s="2">
        <v>88.32</v>
      </c>
    </row>
    <row r="29" spans="1:52" x14ac:dyDescent="0.35">
      <c r="A29" s="2" t="str">
        <f xml:space="preserve"> _xll.EPMOlapMemberO("[LOCID].[].[Munich plant]","","Munich plant","","000")</f>
        <v>Munich plant</v>
      </c>
      <c r="B29" s="2" t="str">
        <f xml:space="preserve"> _xll.EPMOlapMemberO("[PRDID].[].[999-51686-0021]","","999-51686-0021","","000")</f>
        <v>999-51686-0021</v>
      </c>
      <c r="C29" s="2" t="str">
        <f xml:space="preserve"> _xll.EPMOlapMemberO("[BRAND].[].[ MURATTI AMBASSADOR]",""," MURATTI AMBASSADOR","","000")</f>
        <v xml:space="preserve"> MURATTI AMBASSADOR</v>
      </c>
      <c r="D29" s="2" t="str">
        <f xml:space="preserve"> _xll.EPMOlapMemberO("[AM2MARKETDESCR].[].[SWITZERLAND ]","","SWITZERLAND ","","000")</f>
        <v xml:space="preserve">SWITZERLAND </v>
      </c>
      <c r="E29" s="2" t="str">
        <f xml:space="preserve"> _xll.EPMOlapMemberO("[AM2PARENTCUSTGROUP].[].[Mondelez]","","Mondelez","","000")</f>
        <v>Mondelez</v>
      </c>
      <c r="F29" s="2" t="str">
        <f xml:space="preserve"> _xll.EPMOlapMemberO("[KEY_FIGURES].[].[AM2ACTUALSHIPMENTS]","","Shipments","","000")</f>
        <v>Shipments</v>
      </c>
      <c r="K29" s="2">
        <v>301.76</v>
      </c>
      <c r="P29" s="2">
        <v>44.16</v>
      </c>
      <c r="R29" s="2">
        <v>44.16</v>
      </c>
      <c r="X29" s="2">
        <v>176.64</v>
      </c>
    </row>
    <row r="30" spans="1:52" x14ac:dyDescent="0.35">
      <c r="A30" s="2" t="str">
        <f xml:space="preserve"> _xll.EPMOlapMemberO("[LOCID].[].[Munich plant]","","Munich plant","","000")</f>
        <v>Munich plant</v>
      </c>
      <c r="B30" s="2" t="str">
        <f xml:space="preserve"> _xll.EPMOlapMemberO("[PRDID].[].[999-51686-0022]","","999-51686-0022","","000")</f>
        <v>999-51686-0022</v>
      </c>
      <c r="C30" s="2" t="str">
        <f xml:space="preserve"> _xll.EPMOlapMemberO("[BRAND].[].[ MURATTI AMBASSADOR]",""," MURATTI AMBASSADOR","","000")</f>
        <v xml:space="preserve"> MURATTI AMBASSADOR</v>
      </c>
      <c r="D30" s="2" t="str">
        <f xml:space="preserve"> _xll.EPMOlapMemberO("[AM2MARKETDESCR].[].[SWITZERLAND ]","","SWITZERLAND ","","000")</f>
        <v xml:space="preserve">SWITZERLAND </v>
      </c>
      <c r="E30" s="2" t="str">
        <f xml:space="preserve"> _xll.EPMOlapMemberO("[AM2PARENTCUSTGROUP].[].[Mondelez]","","Mondelez","","000")</f>
        <v>Mondelez</v>
      </c>
      <c r="F30" s="2" t="str">
        <f xml:space="preserve"> _xll.EPMOlapMemberO("[KEY_FIGURES].[].[AM2ORDERINTAKE]","","Sales Order","","000")</f>
        <v>Sales Order</v>
      </c>
      <c r="L30" s="2">
        <v>618.24</v>
      </c>
      <c r="P30" s="2">
        <v>264.95999999999998</v>
      </c>
      <c r="T30" s="2">
        <v>264.95999999999998</v>
      </c>
    </row>
    <row r="31" spans="1:52" x14ac:dyDescent="0.35">
      <c r="A31" s="2" t="str">
        <f xml:space="preserve"> _xll.EPMOlapMemberO("[LOCID].[].[Munich plant]","","Munich plant","","000")</f>
        <v>Munich plant</v>
      </c>
      <c r="B31" s="2" t="str">
        <f xml:space="preserve"> _xll.EPMOlapMemberO("[PRDID].[].[999-51686-0022]","","999-51686-0022","","000")</f>
        <v>999-51686-0022</v>
      </c>
      <c r="C31" s="2" t="str">
        <f xml:space="preserve"> _xll.EPMOlapMemberO("[BRAND].[].[ MURATTI AMBASSADOR]",""," MURATTI AMBASSADOR","","000")</f>
        <v xml:space="preserve"> MURATTI AMBASSADOR</v>
      </c>
      <c r="D31" s="2" t="str">
        <f xml:space="preserve"> _xll.EPMOlapMemberO("[AM2MARKETDESCR].[].[SWITZERLAND ]","","SWITZERLAND ","","000")</f>
        <v xml:space="preserve">SWITZERLAND </v>
      </c>
      <c r="E31" s="2" t="str">
        <f xml:space="preserve"> _xll.EPMOlapMemberO("[AM2PARENTCUSTGROUP].[].[Mondelez]","","Mondelez","","000")</f>
        <v>Mondelez</v>
      </c>
      <c r="F31" s="2" t="str">
        <f xml:space="preserve"> _xll.EPMOlapMemberO("[KEY_FIGURES].[].[AM2ACTUALSHIPMENTS]","","Shipments","","000")</f>
        <v>Shipments</v>
      </c>
      <c r="L31" s="2">
        <v>618.24</v>
      </c>
      <c r="P31" s="2">
        <v>120.436364</v>
      </c>
      <c r="T31" s="2">
        <v>120.436363</v>
      </c>
      <c r="X31" s="2">
        <v>441.6</v>
      </c>
    </row>
    <row r="32" spans="1:52" x14ac:dyDescent="0.35">
      <c r="A32" s="2" t="str">
        <f xml:space="preserve"> _xll.EPMOlapMemberO("[LOCID].[].[Munich plant]","","Munich plant","","000")</f>
        <v>Munich plant</v>
      </c>
      <c r="B32" s="2" t="str">
        <f xml:space="preserve"> _xll.EPMOlapMemberO("[PRDID].[].[999-51872-0005]","","999-51872-0005","","000")</f>
        <v>999-51872-0005</v>
      </c>
      <c r="C32" s="2" t="str">
        <f xml:space="preserve"> _xll.EPMOlapMemberO("[BRAND].[].[ NEXT]",""," NEXT","","000")</f>
        <v xml:space="preserve"> NEXT</v>
      </c>
      <c r="D32" s="2" t="str">
        <f xml:space="preserve"> _xll.EPMOlapMemberO("[AM2MARKETDESCR].[].[ISRAEL ]","","ISRAEL ","","000")</f>
        <v xml:space="preserve">ISRAEL </v>
      </c>
      <c r="E32" s="2" t="str">
        <f xml:space="preserve"> _xll.EPMOlapMemberO("[AM2PARENTCUSTGROUP].[].[Mondelez]","","Mondelez","","000")</f>
        <v>Mondelez</v>
      </c>
      <c r="F32" s="2" t="str">
        <f xml:space="preserve"> _xll.EPMOlapMemberO("[KEY_FIGURES].[].[AM2ORDERINTAKE]","","Sales Order","","000")</f>
        <v>Sales Order</v>
      </c>
      <c r="H32" s="2">
        <v>2660</v>
      </c>
      <c r="L32" s="2">
        <v>93.75</v>
      </c>
    </row>
    <row r="33" spans="1:45" x14ac:dyDescent="0.35">
      <c r="A33" s="2" t="str">
        <f xml:space="preserve"> _xll.EPMOlapMemberO("[LOCID].[].[Munich plant]","","Munich plant","","000")</f>
        <v>Munich plant</v>
      </c>
      <c r="B33" s="2" t="str">
        <f xml:space="preserve"> _xll.EPMOlapMemberO("[PRDID].[].[999-51872-0005]","","999-51872-0005","","000")</f>
        <v>999-51872-0005</v>
      </c>
      <c r="C33" s="2" t="str">
        <f xml:space="preserve"> _xll.EPMOlapMemberO("[BRAND].[].[ NEXT]",""," NEXT","","000")</f>
        <v xml:space="preserve"> NEXT</v>
      </c>
      <c r="D33" s="2" t="str">
        <f xml:space="preserve"> _xll.EPMOlapMemberO("[AM2MARKETDESCR].[].[ISRAEL ]","","ISRAEL ","","000")</f>
        <v xml:space="preserve">ISRAEL </v>
      </c>
      <c r="E33" s="2" t="str">
        <f xml:space="preserve"> _xll.EPMOlapMemberO("[AM2PARENTCUSTGROUP].[].[Mondelez]","","Mondelez","","000")</f>
        <v>Mondelez</v>
      </c>
      <c r="F33" s="2" t="str">
        <f xml:space="preserve"> _xll.EPMOlapMemberO("[KEY_FIGURES].[].[AM2ACTUALSHIPMENTS]","","Shipments","","000")</f>
        <v>Shipments</v>
      </c>
      <c r="G33" s="2">
        <v>768</v>
      </c>
      <c r="H33" s="2">
        <v>288</v>
      </c>
      <c r="I33" s="2">
        <v>960</v>
      </c>
      <c r="K33" s="2">
        <v>528</v>
      </c>
      <c r="L33" s="2">
        <v>96</v>
      </c>
      <c r="M33" s="2">
        <v>768</v>
      </c>
      <c r="P33" s="2">
        <v>1264</v>
      </c>
    </row>
    <row r="34" spans="1:45" x14ac:dyDescent="0.35">
      <c r="A34" s="2" t="str">
        <f xml:space="preserve"> _xll.EPMOlapMemberO("[LOCID].[].[Munich plant]","","Munich plant","","000")</f>
        <v>Munich plant</v>
      </c>
      <c r="B34" s="2" t="str">
        <f xml:space="preserve"> _xll.EPMOlapMemberO("[PRDID].[].[999-51872-0006]","","999-51872-0006","","000")</f>
        <v>999-51872-0006</v>
      </c>
      <c r="C34" s="2" t="str">
        <f xml:space="preserve"> _xll.EPMOlapMemberO("[BRAND].[].[ NEXT]",""," NEXT","","000")</f>
        <v xml:space="preserve"> NEXT</v>
      </c>
      <c r="D34" s="2" t="str">
        <f xml:space="preserve"> _xll.EPMOlapMemberO("[AM2MARKETDESCR].[].[ISRAEL ]","","ISRAEL ","","000")</f>
        <v xml:space="preserve">ISRAEL </v>
      </c>
      <c r="E34" s="2" t="str">
        <f xml:space="preserve"> _xll.EPMOlapMemberO("[AM2PARENTCUSTGROUP].[].[Mondelez]","","Mondelez","","000")</f>
        <v>Mondelez</v>
      </c>
      <c r="F34" s="2" t="str">
        <f xml:space="preserve"> _xll.EPMOlapMemberO("[KEY_FIGURES].[].[AM2ORDERINTAKE]","","Sales Order","","000")</f>
        <v>Sales Order</v>
      </c>
      <c r="L34" s="2">
        <v>672</v>
      </c>
    </row>
    <row r="35" spans="1:45" x14ac:dyDescent="0.35">
      <c r="A35" s="2" t="str">
        <f xml:space="preserve"> _xll.EPMOlapMemberO("[LOCID].[].[Munich plant]","","Munich plant","","000")</f>
        <v>Munich plant</v>
      </c>
      <c r="B35" s="2" t="str">
        <f xml:space="preserve"> _xll.EPMOlapMemberO("[PRDID].[].[999-51872-0006]","","999-51872-0006","","000")</f>
        <v>999-51872-0006</v>
      </c>
      <c r="C35" s="2" t="str">
        <f xml:space="preserve"> _xll.EPMOlapMemberO("[BRAND].[].[ NEXT]",""," NEXT","","000")</f>
        <v xml:space="preserve"> NEXT</v>
      </c>
      <c r="D35" s="2" t="str">
        <f xml:space="preserve"> _xll.EPMOlapMemberO("[AM2MARKETDESCR].[].[ISRAEL ]","","ISRAEL ","","000")</f>
        <v xml:space="preserve">ISRAEL </v>
      </c>
      <c r="E35" s="2" t="str">
        <f xml:space="preserve"> _xll.EPMOlapMemberO("[AM2PARENTCUSTGROUP].[].[Mondelez]","","Mondelez","","000")</f>
        <v>Mondelez</v>
      </c>
      <c r="F35" s="2" t="str">
        <f xml:space="preserve"> _xll.EPMOlapMemberO("[KEY_FIGURES].[].[AM2ACTUALSHIPMENTS]","","Shipments","","000")</f>
        <v>Shipments</v>
      </c>
      <c r="G35" s="2">
        <v>384</v>
      </c>
      <c r="I35" s="2">
        <v>712</v>
      </c>
      <c r="L35" s="2">
        <v>672</v>
      </c>
    </row>
    <row r="36" spans="1:45" x14ac:dyDescent="0.35">
      <c r="A36" s="2" t="str">
        <f xml:space="preserve"> _xll.EPMOlapMemberO("[LOCID].[].[Munich plant]","","Munich plant","","000")</f>
        <v>Munich plant</v>
      </c>
      <c r="B36" s="2" t="str">
        <f xml:space="preserve"> _xll.EPMOlapMemberO("[PRDID].[].[999-51872-0014]","","999-51872-0014","","000")</f>
        <v>999-51872-0014</v>
      </c>
      <c r="C36" s="2" t="str">
        <f xml:space="preserve"> _xll.EPMOlapMemberO("[BRAND].[].[ NEXT]",""," NEXT","","000")</f>
        <v xml:space="preserve"> NEXT</v>
      </c>
      <c r="D36" s="2" t="str">
        <f xml:space="preserve"> _xll.EPMOlapMemberO("[AM2MARKETDESCR].[].[ISRAEL ]","","ISRAEL ","","000")</f>
        <v xml:space="preserve">ISRAEL </v>
      </c>
      <c r="E36" s="2" t="str">
        <f xml:space="preserve"> _xll.EPMOlapMemberO("[AM2PARENTCUSTGROUP].[].[Mondelez]","","Mondelez","","000")</f>
        <v>Mondelez</v>
      </c>
      <c r="F36" s="2" t="str">
        <f xml:space="preserve"> _xll.EPMOlapMemberO("[KEY_FIGURES].[].[AM2ORDERINTAKE]","","Sales Order","","000")</f>
        <v>Sales Order</v>
      </c>
      <c r="O36" s="2">
        <v>3720</v>
      </c>
    </row>
    <row r="37" spans="1:45" x14ac:dyDescent="0.35">
      <c r="A37" s="2" t="str">
        <f xml:space="preserve"> _xll.EPMOlapMemberO("[LOCID].[].[Munich plant]","","Munich plant","","000")</f>
        <v>Munich plant</v>
      </c>
      <c r="B37" s="2" t="str">
        <f xml:space="preserve"> _xll.EPMOlapMemberO("[PRDID].[].[999-51872-0014]","","999-51872-0014","","000")</f>
        <v>999-51872-0014</v>
      </c>
      <c r="C37" s="2" t="str">
        <f xml:space="preserve"> _xll.EPMOlapMemberO("[BRAND].[].[ NEXT]",""," NEXT","","000")</f>
        <v xml:space="preserve"> NEXT</v>
      </c>
      <c r="D37" s="2" t="str">
        <f xml:space="preserve"> _xll.EPMOlapMemberO("[AM2MARKETDESCR].[].[ISRAEL ]","","ISRAEL ","","000")</f>
        <v xml:space="preserve">ISRAEL </v>
      </c>
      <c r="E37" s="2" t="str">
        <f xml:space="preserve"> _xll.EPMOlapMemberO("[AM2PARENTCUSTGROUP].[].[Mondelez]","","Mondelez","","000")</f>
        <v>Mondelez</v>
      </c>
      <c r="F37" s="2" t="str">
        <f xml:space="preserve"> _xll.EPMOlapMemberO("[KEY_FIGURES].[].[AM2ACTUALSHIPMENTS]","","Shipments","","000")</f>
        <v>Shipments</v>
      </c>
      <c r="O37" s="2">
        <v>480</v>
      </c>
      <c r="R37" s="2">
        <v>3248</v>
      </c>
    </row>
    <row r="38" spans="1:45" x14ac:dyDescent="0.35">
      <c r="A38" s="2" t="str">
        <f xml:space="preserve"> _xll.EPMOlapMemberO("[LOCID].[].[Munich plant]","","Munich plant","","000")</f>
        <v>Munich plant</v>
      </c>
      <c r="B38" s="2" t="str">
        <f xml:space="preserve"> _xll.EPMOlapMemberO("[PRDID].[].[999-51872-0015]","","999-51872-0015","","000")</f>
        <v>999-51872-0015</v>
      </c>
      <c r="C38" s="2" t="str">
        <f xml:space="preserve"> _xll.EPMOlapMemberO("[BRAND].[].[ NEXT]",""," NEXT","","000")</f>
        <v xml:space="preserve"> NEXT</v>
      </c>
      <c r="D38" s="2" t="str">
        <f xml:space="preserve"> _xll.EPMOlapMemberO("[AM2MARKETDESCR].[].[ISRAEL ]","","ISRAEL ","","000")</f>
        <v xml:space="preserve">ISRAEL </v>
      </c>
      <c r="E38" s="2" t="str">
        <f xml:space="preserve"> _xll.EPMOlapMemberO("[AM2PARENTCUSTGROUP].[].[Mondelez]","","Mondelez","","000")</f>
        <v>Mondelez</v>
      </c>
      <c r="F38" s="2" t="str">
        <f xml:space="preserve"> _xll.EPMOlapMemberO("[KEY_FIGURES].[].[AM2ORDERINTAKE]","","Sales Order","","000")</f>
        <v>Sales Order</v>
      </c>
      <c r="O38" s="2">
        <v>295.530822</v>
      </c>
      <c r="V38" s="2">
        <v>177.996576</v>
      </c>
      <c r="Y38" s="2">
        <v>660</v>
      </c>
      <c r="AA38" s="2">
        <v>768</v>
      </c>
    </row>
    <row r="39" spans="1:45" x14ac:dyDescent="0.35">
      <c r="A39" s="2" t="str">
        <f xml:space="preserve"> _xll.EPMOlapMemberO("[LOCID].[].[Munich plant]","","Munich plant","","000")</f>
        <v>Munich plant</v>
      </c>
      <c r="B39" s="2" t="str">
        <f xml:space="preserve"> _xll.EPMOlapMemberO("[PRDID].[].[999-51872-0015]","","999-51872-0015","","000")</f>
        <v>999-51872-0015</v>
      </c>
      <c r="C39" s="2" t="str">
        <f xml:space="preserve"> _xll.EPMOlapMemberO("[BRAND].[].[ NEXT]",""," NEXT","","000")</f>
        <v xml:space="preserve"> NEXT</v>
      </c>
      <c r="D39" s="2" t="str">
        <f xml:space="preserve"> _xll.EPMOlapMemberO("[AM2MARKETDESCR].[].[ISRAEL ]","","ISRAEL ","","000")</f>
        <v xml:space="preserve">ISRAEL </v>
      </c>
      <c r="E39" s="2" t="str">
        <f xml:space="preserve"> _xll.EPMOlapMemberO("[AM2PARENTCUSTGROUP].[].[Mondelez]","","Mondelez","","000")</f>
        <v>Mondelez</v>
      </c>
      <c r="F39" s="2" t="str">
        <f xml:space="preserve"> _xll.EPMOlapMemberO("[KEY_FIGURES].[].[AM2ACTUALSHIPMENTS]","","Shipments","","000")</f>
        <v>Shipments</v>
      </c>
      <c r="O39" s="2">
        <v>672</v>
      </c>
      <c r="R39" s="2">
        <v>384</v>
      </c>
      <c r="S39" s="2">
        <v>672</v>
      </c>
      <c r="W39" s="2">
        <v>640</v>
      </c>
      <c r="Y39" s="2">
        <v>384</v>
      </c>
      <c r="Z39" s="2">
        <v>280</v>
      </c>
      <c r="AA39" s="2">
        <v>768</v>
      </c>
    </row>
    <row r="40" spans="1:45" x14ac:dyDescent="0.35">
      <c r="A40" s="2" t="str">
        <f xml:space="preserve"> _xll.EPMOlapMemberO("[LOCID].[].[Munich plant]","","Munich plant","","000")</f>
        <v>Munich plant</v>
      </c>
      <c r="B40" s="2" t="str">
        <f xml:space="preserve"> _xll.EPMOlapMemberO("[PRDID].[].[999-51905-0101]","","999-51905-0101","","000")</f>
        <v>999-51905-0101</v>
      </c>
      <c r="C40" s="2" t="str">
        <f xml:space="preserve"> _xll.EPMOlapMemberO("[BRAND].[].[ KARELIA SLIMS]",""," KARELIA SLIMS","","000")</f>
        <v xml:space="preserve"> KARELIA SLIMS</v>
      </c>
      <c r="D40" s="2" t="str">
        <f xml:space="preserve"> _xll.EPMOlapMemberO("[AM2MARKETDESCR].[].[EXPORT]","","EXPORT","","000")</f>
        <v>EXPORT</v>
      </c>
      <c r="E40" s="2" t="str">
        <f xml:space="preserve"> _xll.EPMOlapMemberO("[AM2PARENTCUSTGROUP].[].[__NULL]","","(None)","","000")</f>
        <v>(None)</v>
      </c>
      <c r="F40" s="2" t="str">
        <f xml:space="preserve"> _xll.EPMOlapMemberO("[KEY_FIGURES].[].[INITIALINVENTORY]","","Stock","","000")</f>
        <v>Stock</v>
      </c>
      <c r="AQ40" s="2">
        <v>263.25</v>
      </c>
    </row>
    <row r="41" spans="1:45" x14ac:dyDescent="0.35">
      <c r="A41" s="2" t="str">
        <f xml:space="preserve"> _xll.EPMOlapMemberO("[LOCID].[].[Munich plant]","","Munich plant","","000")</f>
        <v>Munich plant</v>
      </c>
      <c r="B41" s="2" t="str">
        <f xml:space="preserve"> _xll.EPMOlapMemberO("[PRDID].[].[999-51905-0108]","","999-51905-0108","","000")</f>
        <v>999-51905-0108</v>
      </c>
      <c r="C41" s="2" t="str">
        <f xml:space="preserve"> _xll.EPMOlapMemberO("[BRAND].[].[ KARELIA SLIMS]",""," KARELIA SLIMS","","000")</f>
        <v xml:space="preserve"> KARELIA SLIMS</v>
      </c>
      <c r="D41" s="2" t="str">
        <f xml:space="preserve"> _xll.EPMOlapMemberO("[AM2MARKETDESCR].[].[LIBYA]","","LIBYA","","000")</f>
        <v>LIBYA</v>
      </c>
      <c r="E41" s="2" t="str">
        <f xml:space="preserve"> _xll.EPMOlapMemberO("[AM2PARENTCUSTGROUP].[].[__NULL]","","(None)","","000")</f>
        <v>(None)</v>
      </c>
      <c r="F41" s="2" t="str">
        <f xml:space="preserve"> _xll.EPMOlapMemberO("[KEY_FIGURES].[].[INITIALINVENTORY]","","Stock","","000")</f>
        <v>Stock</v>
      </c>
      <c r="AQ41" s="2">
        <v>126.75</v>
      </c>
    </row>
    <row r="42" spans="1:45" x14ac:dyDescent="0.35">
      <c r="A42" s="2" t="str">
        <f xml:space="preserve"> _xll.EPMOlapMemberO("[LOCID].[].[Munich plant]","","Munich plant","","000")</f>
        <v>Munich plant</v>
      </c>
      <c r="B42" s="2" t="str">
        <f xml:space="preserve"> _xll.EPMOlapMemberO("[PRDID].[].[999-51905-0108]","","999-51905-0108","","000")</f>
        <v>999-51905-0108</v>
      </c>
      <c r="C42" s="2" t="str">
        <f xml:space="preserve"> _xll.EPMOlapMemberO("[BRAND].[].[ KARELIA SLIMS]",""," KARELIA SLIMS","","000")</f>
        <v xml:space="preserve"> KARELIA SLIMS</v>
      </c>
      <c r="D42" s="2" t="str">
        <f xml:space="preserve"> _xll.EPMOlapMemberO("[AM2MARKETDESCR].[].[LIBYA]","","LIBYA","","000")</f>
        <v>LIBYA</v>
      </c>
      <c r="E42" s="2" t="str">
        <f xml:space="preserve"> _xll.EPMOlapMemberO("[AM2PARENTCUSTGROUP].[].[__NULL]","","(None)","","000")</f>
        <v>(None)</v>
      </c>
      <c r="F42" s="2" t="str">
        <f xml:space="preserve"> _xll.EPMOlapMemberO("[KEY_FIGURES].[].[CONFIRMEDPRODUCTION]","","Production Order","","000")</f>
        <v>Production Order</v>
      </c>
      <c r="AS42" s="2">
        <v>78</v>
      </c>
    </row>
    <row r="43" spans="1:45" x14ac:dyDescent="0.35">
      <c r="A43" s="2" t="str">
        <f xml:space="preserve"> _xll.EPMOlapMemberO("[LOCID].[].[Munich plant]","","Munich plant","","000")</f>
        <v>Munich plant</v>
      </c>
      <c r="B43" s="2" t="str">
        <f xml:space="preserve"> _xll.EPMOlapMemberO("[PRDID].[].[999-51906-0089]","","999-51906-0089","","000")</f>
        <v>999-51906-0089</v>
      </c>
      <c r="C43" s="2" t="str">
        <f xml:space="preserve"> _xll.EPMOlapMemberO("[BRAND].[].[ KARELIA SLIMS]",""," KARELIA SLIMS","","000")</f>
        <v xml:space="preserve"> KARELIA SLIMS</v>
      </c>
      <c r="D43" s="2" t="str">
        <f xml:space="preserve"> _xll.EPMOlapMemberO("[AM2MARKETDESCR].[].[DUTY FREE]","","DUTY FREE","","000")</f>
        <v>DUTY FREE</v>
      </c>
      <c r="E43" s="2" t="str">
        <f xml:space="preserve"> _xll.EPMOlapMemberO("[AM2PARENTCUSTGROUP].[].[__NULL]","","(None)","","000")</f>
        <v>(None)</v>
      </c>
      <c r="F43" s="2" t="str">
        <f xml:space="preserve"> _xll.EPMOlapMemberO("[KEY_FIGURES].[].[CONFIRMEDPRODUCTION]","","Production Order","","000")</f>
        <v>Production Order</v>
      </c>
      <c r="AQ43" s="2">
        <v>253.5</v>
      </c>
    </row>
    <row r="44" spans="1:45" x14ac:dyDescent="0.35">
      <c r="A44" s="2" t="str">
        <f xml:space="preserve"> _xll.EPMOlapMemberO("[LOCID].[].[Munich plant]","","Munich plant","","000")</f>
        <v>Munich plant</v>
      </c>
      <c r="B44" s="2" t="str">
        <f xml:space="preserve"> _xll.EPMOlapMemberO("[PRDID].[].[999-52071-0012]","","999-52071-0012","","000")</f>
        <v>999-52071-0012</v>
      </c>
      <c r="C44" s="2" t="str">
        <f xml:space="preserve"> _xll.EPMOlapMemberO("[BRAND].[].[ AMERICAN LEGEND]",""," AMERICAN LEGEND","","000")</f>
        <v xml:space="preserve"> AMERICAN LEGEND</v>
      </c>
      <c r="D44" s="2" t="str">
        <f xml:space="preserve"> _xll.EPMOlapMemberO("[AM2MARKETDESCR].[].[LIBYA]","","LIBYA","","000")</f>
        <v>LIBYA</v>
      </c>
      <c r="E44" s="2" t="str">
        <f xml:space="preserve"> _xll.EPMOlapMemberO("[AM2PARENTCUSTGROUP].[].[__NULL]","","(None)","","000")</f>
        <v>(None)</v>
      </c>
      <c r="F44" s="2" t="str">
        <f xml:space="preserve"> _xll.EPMOlapMemberO("[KEY_FIGURES].[].[CONFIRMEDPRODUCTION]","","Production Order","","000")</f>
        <v>Production Order</v>
      </c>
      <c r="AR44" s="2">
        <v>1050</v>
      </c>
    </row>
    <row r="45" spans="1:45" x14ac:dyDescent="0.35">
      <c r="A45" s="2" t="str">
        <f xml:space="preserve"> _xll.EPMOlapMemberO("[LOCID].[].[Munich plant]","","Munich plant","","000")</f>
        <v>Munich plant</v>
      </c>
      <c r="B45" s="2" t="str">
        <f xml:space="preserve"> _xll.EPMOlapMemberO("[PRDID].[].[999-52406-0040]","","999-52406-0040","","000")</f>
        <v>999-52406-0040</v>
      </c>
      <c r="C45" s="2" t="str">
        <f xml:space="preserve"> _xll.EPMOlapMemberO("[BRAND].[].[ L&amp;M]",""," L&amp;M","","000")</f>
        <v xml:space="preserve"> L&amp;M</v>
      </c>
      <c r="D45" s="2" t="str">
        <f xml:space="preserve"> _xll.EPMOlapMemberO("[AM2MARKETDESCR].[].[SERBIA ]","","SERBIA ","","000")</f>
        <v xml:space="preserve">SERBIA </v>
      </c>
      <c r="E45" s="2" t="str">
        <f xml:space="preserve"> _xll.EPMOlapMemberO("[AM2PARENTCUSTGROUP].[].[Mondelez]","","Mondelez","","000")</f>
        <v>Mondelez</v>
      </c>
      <c r="F45" s="2" t="str">
        <f xml:space="preserve"> _xll.EPMOlapMemberO("[KEY_FIGURES].[].[AM2ORDERINTAKE]","","Sales Order","","000")</f>
        <v>Sales Order</v>
      </c>
      <c r="L45" s="2">
        <v>1420</v>
      </c>
    </row>
    <row r="46" spans="1:45" x14ac:dyDescent="0.35">
      <c r="A46" s="2" t="str">
        <f xml:space="preserve"> _xll.EPMOlapMemberO("[LOCID].[].[Munich plant]","","Munich plant","","000")</f>
        <v>Munich plant</v>
      </c>
      <c r="B46" s="2" t="str">
        <f xml:space="preserve"> _xll.EPMOlapMemberO("[PRDID].[].[999-52406-0040]","","999-52406-0040","","000")</f>
        <v>999-52406-0040</v>
      </c>
      <c r="C46" s="2" t="str">
        <f xml:space="preserve"> _xll.EPMOlapMemberO("[BRAND].[].[ L&amp;M]",""," L&amp;M","","000")</f>
        <v xml:space="preserve"> L&amp;M</v>
      </c>
      <c r="D46" s="2" t="str">
        <f xml:space="preserve"> _xll.EPMOlapMemberO("[AM2MARKETDESCR].[].[SERBIA ]","","SERBIA ","","000")</f>
        <v xml:space="preserve">SERBIA </v>
      </c>
      <c r="E46" s="2" t="str">
        <f xml:space="preserve"> _xll.EPMOlapMemberO("[AM2PARENTCUSTGROUP].[].[Mondelez]","","Mondelez","","000")</f>
        <v>Mondelez</v>
      </c>
      <c r="F46" s="2" t="str">
        <f xml:space="preserve"> _xll.EPMOlapMemberO("[KEY_FIGURES].[].[AM2ACTUALSHIPMENTS]","","Shipments","","000")</f>
        <v>Shipments</v>
      </c>
      <c r="L46" s="2">
        <v>1424</v>
      </c>
    </row>
    <row r="47" spans="1:45" x14ac:dyDescent="0.35">
      <c r="A47" s="2" t="str">
        <f xml:space="preserve"> _xll.EPMOlapMemberO("[LOCID].[].[Munich plant]","","Munich plant","","000")</f>
        <v>Munich plant</v>
      </c>
      <c r="B47" s="2" t="str">
        <f xml:space="preserve"> _xll.EPMOlapMemberO("[PRDID].[].[999-52406-0051]","","999-52406-0051","","000")</f>
        <v>999-52406-0051</v>
      </c>
      <c r="C47" s="2" t="str">
        <f xml:space="preserve"> _xll.EPMOlapMemberO("[BRAND].[].[ L&amp;M]",""," L&amp;M","","000")</f>
        <v xml:space="preserve"> L&amp;M</v>
      </c>
      <c r="D47" s="2" t="str">
        <f xml:space="preserve"> _xll.EPMOlapMemberO("[AM2MARKETDESCR].[].[SLOVAK REPUBLIC ]","","SLOVAK REPUBLIC ","","000")</f>
        <v xml:space="preserve">SLOVAK REPUBLIC </v>
      </c>
      <c r="E47" s="2" t="str">
        <f xml:space="preserve"> _xll.EPMOlapMemberO("[AM2PARENTCUSTGROUP].[].[Mondelez]","","Mondelez","","000")</f>
        <v>Mondelez</v>
      </c>
      <c r="F47" s="2" t="str">
        <f xml:space="preserve"> _xll.EPMOlapMemberO("[KEY_FIGURES].[].[AM2ORDERINTAKE]","","Sales Order","","000")</f>
        <v>Sales Order</v>
      </c>
      <c r="G47" s="2">
        <v>744</v>
      </c>
    </row>
    <row r="48" spans="1:45" x14ac:dyDescent="0.35">
      <c r="A48" s="2" t="str">
        <f xml:space="preserve"> _xll.EPMOlapMemberO("[LOCID].[].[Munich plant]","","Munich plant","","000")</f>
        <v>Munich plant</v>
      </c>
      <c r="B48" s="2" t="str">
        <f xml:space="preserve"> _xll.EPMOlapMemberO("[PRDID].[].[999-52406-0051]","","999-52406-0051","","000")</f>
        <v>999-52406-0051</v>
      </c>
      <c r="C48" s="2" t="str">
        <f xml:space="preserve"> _xll.EPMOlapMemberO("[BRAND].[].[ L&amp;M]",""," L&amp;M","","000")</f>
        <v xml:space="preserve"> L&amp;M</v>
      </c>
      <c r="D48" s="2" t="str">
        <f xml:space="preserve"> _xll.EPMOlapMemberO("[AM2MARKETDESCR].[].[SLOVAK REPUBLIC ]","","SLOVAK REPUBLIC ","","000")</f>
        <v xml:space="preserve">SLOVAK REPUBLIC </v>
      </c>
      <c r="E48" s="2" t="str">
        <f xml:space="preserve"> _xll.EPMOlapMemberO("[AM2PARENTCUSTGROUP].[].[Mondelez]","","Mondelez","","000")</f>
        <v>Mondelez</v>
      </c>
      <c r="F48" s="2" t="str">
        <f xml:space="preserve"> _xll.EPMOlapMemberO("[KEY_FIGURES].[].[AM2ACTUALSHIPMENTS]","","Shipments","","000")</f>
        <v>Shipments</v>
      </c>
      <c r="G48" s="2">
        <v>744</v>
      </c>
    </row>
    <row r="49" spans="1:32" x14ac:dyDescent="0.35">
      <c r="A49" s="2" t="str">
        <f xml:space="preserve"> _xll.EPMOlapMemberO("[LOCID].[].[Munich plant]","","Munich plant","","000")</f>
        <v>Munich plant</v>
      </c>
      <c r="B49" s="2" t="str">
        <f xml:space="preserve"> _xll.EPMOlapMemberO("[PRDID].[].[999-52406-0052]","","999-52406-0052","","000")</f>
        <v>999-52406-0052</v>
      </c>
      <c r="C49" s="2" t="str">
        <f xml:space="preserve"> _xll.EPMOlapMemberO("[BRAND].[].[ L&amp;M]",""," L&amp;M","","000")</f>
        <v xml:space="preserve"> L&amp;M</v>
      </c>
      <c r="D49" s="2" t="str">
        <f xml:space="preserve"> _xll.EPMOlapMemberO("[AM2MARKETDESCR].[].[SLOVAK REPUBLIC ]","","SLOVAK REPUBLIC ","","000")</f>
        <v xml:space="preserve">SLOVAK REPUBLIC </v>
      </c>
      <c r="E49" s="2" t="str">
        <f xml:space="preserve"> _xll.EPMOlapMemberO("[AM2PARENTCUSTGROUP].[].[Mondelez]","","Mondelez","","000")</f>
        <v>Mondelez</v>
      </c>
      <c r="F49" s="2" t="str">
        <f xml:space="preserve"> _xll.EPMOlapMemberO("[KEY_FIGURES].[].[AM2ORDERINTAKE]","","Sales Order","","000")</f>
        <v>Sales Order</v>
      </c>
      <c r="G49" s="2">
        <v>4128</v>
      </c>
    </row>
    <row r="50" spans="1:32" x14ac:dyDescent="0.35">
      <c r="A50" s="2" t="str">
        <f xml:space="preserve"> _xll.EPMOlapMemberO("[LOCID].[].[Munich plant]","","Munich plant","","000")</f>
        <v>Munich plant</v>
      </c>
      <c r="B50" s="2" t="str">
        <f xml:space="preserve"> _xll.EPMOlapMemberO("[PRDID].[].[999-52406-0052]","","999-52406-0052","","000")</f>
        <v>999-52406-0052</v>
      </c>
      <c r="C50" s="2" t="str">
        <f xml:space="preserve"> _xll.EPMOlapMemberO("[BRAND].[].[ L&amp;M]",""," L&amp;M","","000")</f>
        <v xml:space="preserve"> L&amp;M</v>
      </c>
      <c r="D50" s="2" t="str">
        <f xml:space="preserve"> _xll.EPMOlapMemberO("[AM2MARKETDESCR].[].[SLOVAK REPUBLIC ]","","SLOVAK REPUBLIC ","","000")</f>
        <v xml:space="preserve">SLOVAK REPUBLIC </v>
      </c>
      <c r="E50" s="2" t="str">
        <f xml:space="preserve"> _xll.EPMOlapMemberO("[AM2PARENTCUSTGROUP].[].[Mondelez]","","Mondelez","","000")</f>
        <v>Mondelez</v>
      </c>
      <c r="F50" s="2" t="str">
        <f xml:space="preserve"> _xll.EPMOlapMemberO("[KEY_FIGURES].[].[AM2ACTUALSHIPMENTS]","","Shipments","","000")</f>
        <v>Shipments</v>
      </c>
      <c r="G50" s="2">
        <v>3648</v>
      </c>
      <c r="I50" s="2">
        <v>256</v>
      </c>
    </row>
    <row r="51" spans="1:32" x14ac:dyDescent="0.35">
      <c r="A51" s="2" t="str">
        <f xml:space="preserve"> _xll.EPMOlapMemberO("[LOCID].[].[Munich plant]","","Munich plant","","000")</f>
        <v>Munich plant</v>
      </c>
      <c r="B51" s="2" t="str">
        <f xml:space="preserve"> _xll.EPMOlapMemberO("[PRDID].[].[999-52406-0053]","","999-52406-0053","","000")</f>
        <v>999-52406-0053</v>
      </c>
      <c r="C51" s="2" t="str">
        <f xml:space="preserve"> _xll.EPMOlapMemberO("[BRAND].[].[ L&amp;M]",""," L&amp;M","","000")</f>
        <v xml:space="preserve"> L&amp;M</v>
      </c>
      <c r="D51" s="2" t="str">
        <f xml:space="preserve"> _xll.EPMOlapMemberO("[AM2MARKETDESCR].[].[SLOVAK REPUBLIC ]","","SLOVAK REPUBLIC ","","000")</f>
        <v xml:space="preserve">SLOVAK REPUBLIC </v>
      </c>
      <c r="E51" s="2" t="str">
        <f xml:space="preserve"> _xll.EPMOlapMemberO("[AM2PARENTCUSTGROUP].[].[Mondelez]","","Mondelez","","000")</f>
        <v>Mondelez</v>
      </c>
      <c r="F51" s="2" t="str">
        <f xml:space="preserve"> _xll.EPMOlapMemberO("[KEY_FIGURES].[].[AM2ORDERINTAKE]","","Sales Order","","000")</f>
        <v>Sales Order</v>
      </c>
      <c r="G51" s="2">
        <v>3936</v>
      </c>
    </row>
    <row r="52" spans="1:32" x14ac:dyDescent="0.35">
      <c r="A52" s="2" t="str">
        <f xml:space="preserve"> _xll.EPMOlapMemberO("[LOCID].[].[Munich plant]","","Munich plant","","000")</f>
        <v>Munich plant</v>
      </c>
      <c r="B52" s="2" t="str">
        <f xml:space="preserve"> _xll.EPMOlapMemberO("[PRDID].[].[999-52406-0053]","","999-52406-0053","","000")</f>
        <v>999-52406-0053</v>
      </c>
      <c r="C52" s="2" t="str">
        <f xml:space="preserve"> _xll.EPMOlapMemberO("[BRAND].[].[ L&amp;M]",""," L&amp;M","","000")</f>
        <v xml:space="preserve"> L&amp;M</v>
      </c>
      <c r="D52" s="2" t="str">
        <f xml:space="preserve"> _xll.EPMOlapMemberO("[AM2MARKETDESCR].[].[SLOVAK REPUBLIC ]","","SLOVAK REPUBLIC ","","000")</f>
        <v xml:space="preserve">SLOVAK REPUBLIC </v>
      </c>
      <c r="E52" s="2" t="str">
        <f xml:space="preserve"> _xll.EPMOlapMemberO("[AM2PARENTCUSTGROUP].[].[Mondelez]","","Mondelez","","000")</f>
        <v>Mondelez</v>
      </c>
      <c r="F52" s="2" t="str">
        <f xml:space="preserve"> _xll.EPMOlapMemberO("[KEY_FIGURES].[].[AM2ACTUALSHIPMENTS]","","Shipments","","000")</f>
        <v>Shipments</v>
      </c>
      <c r="G52" s="2">
        <v>3776</v>
      </c>
    </row>
    <row r="53" spans="1:32" x14ac:dyDescent="0.35">
      <c r="A53" s="2" t="str">
        <f xml:space="preserve"> _xll.EPMOlapMemberO("[LOCID].[].[Munich plant]","","Munich plant","","000")</f>
        <v>Munich plant</v>
      </c>
      <c r="B53" s="2" t="str">
        <f xml:space="preserve"> _xll.EPMOlapMemberO("[PRDID].[].[999-52406-0054]","","999-52406-0054","","000")</f>
        <v>999-52406-0054</v>
      </c>
      <c r="C53" s="2" t="str">
        <f xml:space="preserve"> _xll.EPMOlapMemberO("[BRAND].[].[ L&amp;M]",""," L&amp;M","","000")</f>
        <v xml:space="preserve"> L&amp;M</v>
      </c>
      <c r="D53" s="2" t="str">
        <f xml:space="preserve"> _xll.EPMOlapMemberO("[AM2MARKETDESCR].[].[ROMANIA ]","","ROMANIA ","","000")</f>
        <v xml:space="preserve">ROMANIA </v>
      </c>
      <c r="E53" s="2" t="str">
        <f xml:space="preserve"> _xll.EPMOlapMemberO("[AM2PARENTCUSTGROUP].[].[Mondelez]","","Mondelez","","000")</f>
        <v>Mondelez</v>
      </c>
      <c r="F53" s="2" t="str">
        <f xml:space="preserve"> _xll.EPMOlapMemberO("[KEY_FIGURES].[].[AM2ORDERINTAKE]","","Sales Order","","000")</f>
        <v>Sales Order</v>
      </c>
      <c r="I53" s="2">
        <v>2856</v>
      </c>
      <c r="L53" s="2">
        <v>256</v>
      </c>
    </row>
    <row r="54" spans="1:32" x14ac:dyDescent="0.35">
      <c r="A54" s="2" t="str">
        <f xml:space="preserve"> _xll.EPMOlapMemberO("[LOCID].[].[Munich plant]","","Munich plant","","000")</f>
        <v>Munich plant</v>
      </c>
      <c r="B54" s="2" t="str">
        <f xml:space="preserve"> _xll.EPMOlapMemberO("[PRDID].[].[999-52406-0054]","","999-52406-0054","","000")</f>
        <v>999-52406-0054</v>
      </c>
      <c r="C54" s="2" t="str">
        <f xml:space="preserve"> _xll.EPMOlapMemberO("[BRAND].[].[ L&amp;M]",""," L&amp;M","","000")</f>
        <v xml:space="preserve"> L&amp;M</v>
      </c>
      <c r="D54" s="2" t="str">
        <f xml:space="preserve"> _xll.EPMOlapMemberO("[AM2MARKETDESCR].[].[ROMANIA ]","","ROMANIA ","","000")</f>
        <v xml:space="preserve">ROMANIA </v>
      </c>
      <c r="E54" s="2" t="str">
        <f xml:space="preserve"> _xll.EPMOlapMemberO("[AM2PARENTCUSTGROUP].[].[Mondelez]","","Mondelez","","000")</f>
        <v>Mondelez</v>
      </c>
      <c r="F54" s="2" t="str">
        <f xml:space="preserve"> _xll.EPMOlapMemberO("[KEY_FIGURES].[].[AM2ACTUALSHIPMENTS]","","Shipments","","000")</f>
        <v>Shipments</v>
      </c>
      <c r="I54" s="2">
        <v>2856</v>
      </c>
      <c r="L54" s="2">
        <v>136</v>
      </c>
      <c r="M54" s="2">
        <v>96</v>
      </c>
    </row>
    <row r="55" spans="1:32" x14ac:dyDescent="0.35">
      <c r="A55" s="2" t="str">
        <f xml:space="preserve"> _xll.EPMOlapMemberO("[LOCID].[].[Munich plant]","","Munich plant","","000")</f>
        <v>Munich plant</v>
      </c>
      <c r="B55" s="2" t="str">
        <f xml:space="preserve"> _xll.EPMOlapMemberO("[PRDID].[].[999-52406-0055]","","999-52406-0055","","000")</f>
        <v>999-52406-0055</v>
      </c>
      <c r="C55" s="2" t="str">
        <f xml:space="preserve"> _xll.EPMOlapMemberO("[BRAND].[].[ L&amp;M]",""," L&amp;M","","000")</f>
        <v xml:space="preserve"> L&amp;M</v>
      </c>
      <c r="D55" s="2" t="str">
        <f xml:space="preserve"> _xll.EPMOlapMemberO("[AM2MARKETDESCR].[].[ROMANIA ]","","ROMANIA ","","000")</f>
        <v xml:space="preserve">ROMANIA </v>
      </c>
      <c r="E55" s="2" t="str">
        <f xml:space="preserve"> _xll.EPMOlapMemberO("[AM2PARENTCUSTGROUP].[].[Mondelez]","","Mondelez","","000")</f>
        <v>Mondelez</v>
      </c>
      <c r="F55" s="2" t="str">
        <f xml:space="preserve"> _xll.EPMOlapMemberO("[KEY_FIGURES].[].[AM2ORDERINTAKE]","","Sales Order","","000")</f>
        <v>Sales Order</v>
      </c>
      <c r="K55" s="2">
        <v>5280</v>
      </c>
      <c r="M55" s="2">
        <v>1440</v>
      </c>
      <c r="R55" s="2">
        <v>32.325623999999998</v>
      </c>
      <c r="T55" s="2">
        <v>30.016651</v>
      </c>
      <c r="U55" s="2">
        <v>40.407031000000003</v>
      </c>
      <c r="Y55" s="2">
        <v>104</v>
      </c>
    </row>
    <row r="56" spans="1:32" x14ac:dyDescent="0.35">
      <c r="A56" s="2" t="str">
        <f xml:space="preserve"> _xll.EPMOlapMemberO("[LOCID].[].[Munich plant]","","Munich plant","","000")</f>
        <v>Munich plant</v>
      </c>
      <c r="B56" s="2" t="str">
        <f xml:space="preserve"> _xll.EPMOlapMemberO("[PRDID].[].[999-52406-0055]","","999-52406-0055","","000")</f>
        <v>999-52406-0055</v>
      </c>
      <c r="C56" s="2" t="str">
        <f xml:space="preserve"> _xll.EPMOlapMemberO("[BRAND].[].[ L&amp;M]",""," L&amp;M","","000")</f>
        <v xml:space="preserve"> L&amp;M</v>
      </c>
      <c r="D56" s="2" t="str">
        <f xml:space="preserve"> _xll.EPMOlapMemberO("[AM2MARKETDESCR].[].[ROMANIA ]","","ROMANIA ","","000")</f>
        <v xml:space="preserve">ROMANIA </v>
      </c>
      <c r="E56" s="2" t="str">
        <f xml:space="preserve"> _xll.EPMOlapMemberO("[AM2PARENTCUSTGROUP].[].[Mondelez]","","Mondelez","","000")</f>
        <v>Mondelez</v>
      </c>
      <c r="F56" s="2" t="str">
        <f xml:space="preserve"> _xll.EPMOlapMemberO("[KEY_FIGURES].[].[AM2ACTUALSHIPMENTS]","","Shipments","","000")</f>
        <v>Shipments</v>
      </c>
      <c r="L56" s="2">
        <v>2496</v>
      </c>
      <c r="M56" s="2">
        <v>3880</v>
      </c>
      <c r="P56" s="2">
        <v>768</v>
      </c>
      <c r="R56" s="2">
        <v>1920</v>
      </c>
      <c r="T56" s="2">
        <v>2384</v>
      </c>
      <c r="U56" s="2">
        <v>3352</v>
      </c>
      <c r="X56" s="2">
        <v>1936</v>
      </c>
      <c r="Y56" s="2">
        <v>104</v>
      </c>
    </row>
    <row r="57" spans="1:32" x14ac:dyDescent="0.35">
      <c r="A57" s="2" t="str">
        <f xml:space="preserve"> _xll.EPMOlapMemberO("[LOCID].[].[Munich plant]","","Munich plant","","000")</f>
        <v>Munich plant</v>
      </c>
      <c r="B57" s="2" t="str">
        <f xml:space="preserve"> _xll.EPMOlapMemberO("[PRDID].[].[999-52406-0056]","","999-52406-0056","","000")</f>
        <v>999-52406-0056</v>
      </c>
      <c r="C57" s="2" t="str">
        <f xml:space="preserve"> _xll.EPMOlapMemberO("[BRAND].[].[ L&amp;M]",""," L&amp;M","","000")</f>
        <v xml:space="preserve"> L&amp;M</v>
      </c>
      <c r="D57" s="2" t="str">
        <f xml:space="preserve"> _xll.EPMOlapMemberO("[AM2MARKETDESCR].[].[SLOVAK REPUBLIC ]","","SLOVAK REPUBLIC ","","000")</f>
        <v xml:space="preserve">SLOVAK REPUBLIC </v>
      </c>
      <c r="E57" s="2" t="str">
        <f xml:space="preserve"> _xll.EPMOlapMemberO("[AM2PARENTCUSTGROUP].[].[Mondelez]","","Mondelez","","000")</f>
        <v>Mondelez</v>
      </c>
      <c r="F57" s="2" t="str">
        <f xml:space="preserve"> _xll.EPMOlapMemberO("[KEY_FIGURES].[].[AM2ORDERINTAKE]","","Sales Order","","000")</f>
        <v>Sales Order</v>
      </c>
      <c r="N57" s="2">
        <v>2592</v>
      </c>
      <c r="R57" s="2">
        <v>355.69604800000002</v>
      </c>
      <c r="Y57" s="2">
        <v>424</v>
      </c>
    </row>
    <row r="58" spans="1:32" x14ac:dyDescent="0.35">
      <c r="A58" s="2" t="str">
        <f xml:space="preserve"> _xll.EPMOlapMemberO("[LOCID].[].[Munich plant]","","Munich plant","","000")</f>
        <v>Munich plant</v>
      </c>
      <c r="B58" s="2" t="str">
        <f xml:space="preserve"> _xll.EPMOlapMemberO("[PRDID].[].[999-52406-0056]","","999-52406-0056","","000")</f>
        <v>999-52406-0056</v>
      </c>
      <c r="C58" s="2" t="str">
        <f xml:space="preserve"> _xll.EPMOlapMemberO("[BRAND].[].[ L&amp;M]",""," L&amp;M","","000")</f>
        <v xml:space="preserve"> L&amp;M</v>
      </c>
      <c r="D58" s="2" t="str">
        <f xml:space="preserve"> _xll.EPMOlapMemberO("[AM2MARKETDESCR].[].[SLOVAK REPUBLIC ]","","SLOVAK REPUBLIC ","","000")</f>
        <v xml:space="preserve">SLOVAK REPUBLIC </v>
      </c>
      <c r="E58" s="2" t="str">
        <f xml:space="preserve"> _xll.EPMOlapMemberO("[AM2PARENTCUSTGROUP].[].[Mondelez]","","Mondelez","","000")</f>
        <v>Mondelez</v>
      </c>
      <c r="F58" s="2" t="str">
        <f xml:space="preserve"> _xll.EPMOlapMemberO("[KEY_FIGURES].[].[AM2ACTUALSHIPMENTS]","","Shipments","","000")</f>
        <v>Shipments</v>
      </c>
      <c r="W58" s="2">
        <v>1440</v>
      </c>
      <c r="Y58" s="2">
        <v>424</v>
      </c>
    </row>
    <row r="59" spans="1:32" x14ac:dyDescent="0.35">
      <c r="A59" s="2" t="str">
        <f xml:space="preserve"> _xll.EPMOlapMemberO("[LOCID].[].[Munich plant]","","Munich plant","","000")</f>
        <v>Munich plant</v>
      </c>
      <c r="B59" s="2" t="str">
        <f xml:space="preserve"> _xll.EPMOlapMemberO("[PRDID].[].[999-52406-0057]","","999-52406-0057","","000")</f>
        <v>999-52406-0057</v>
      </c>
      <c r="C59" s="2" t="str">
        <f xml:space="preserve"> _xll.EPMOlapMemberO("[BRAND].[].[ L&amp;M]",""," L&amp;M","","000")</f>
        <v xml:space="preserve"> L&amp;M</v>
      </c>
      <c r="D59" s="2" t="str">
        <f xml:space="preserve"> _xll.EPMOlapMemberO("[AM2MARKETDESCR].[].[SLOVAK REPUBLIC ]","","SLOVAK REPUBLIC ","","000")</f>
        <v xml:space="preserve">SLOVAK REPUBLIC </v>
      </c>
      <c r="E59" s="2" t="str">
        <f xml:space="preserve"> _xll.EPMOlapMemberO("[AM2PARENTCUSTGROUP].[].[Mondelez]","","Mondelez","","000")</f>
        <v>Mondelez</v>
      </c>
      <c r="F59" s="2" t="str">
        <f xml:space="preserve"> _xll.EPMOlapMemberO("[KEY_FIGURES].[].[AM2ORDERINTAKE]","","Sales Order","","000")</f>
        <v>Sales Order</v>
      </c>
      <c r="N59" s="2">
        <v>2144</v>
      </c>
      <c r="R59" s="2">
        <v>1440</v>
      </c>
      <c r="T59" s="2">
        <v>1440</v>
      </c>
    </row>
    <row r="60" spans="1:32" x14ac:dyDescent="0.35">
      <c r="A60" s="2" t="str">
        <f xml:space="preserve"> _xll.EPMOlapMemberO("[LOCID].[].[Munich plant]","","Munich plant","","000")</f>
        <v>Munich plant</v>
      </c>
      <c r="B60" s="2" t="str">
        <f xml:space="preserve"> _xll.EPMOlapMemberO("[PRDID].[].[999-52406-0057]","","999-52406-0057","","000")</f>
        <v>999-52406-0057</v>
      </c>
      <c r="C60" s="2" t="str">
        <f xml:space="preserve"> _xll.EPMOlapMemberO("[BRAND].[].[ L&amp;M]",""," L&amp;M","","000")</f>
        <v xml:space="preserve"> L&amp;M</v>
      </c>
      <c r="D60" s="2" t="str">
        <f xml:space="preserve"> _xll.EPMOlapMemberO("[AM2MARKETDESCR].[].[SLOVAK REPUBLIC ]","","SLOVAK REPUBLIC ","","000")</f>
        <v xml:space="preserve">SLOVAK REPUBLIC </v>
      </c>
      <c r="E60" s="2" t="str">
        <f xml:space="preserve"> _xll.EPMOlapMemberO("[AM2PARENTCUSTGROUP].[].[Mondelez]","","Mondelez","","000")</f>
        <v>Mondelez</v>
      </c>
      <c r="F60" s="2" t="str">
        <f xml:space="preserve"> _xll.EPMOlapMemberO("[KEY_FIGURES].[].[AM2ACTUALSHIPMENTS]","","Shipments","","000")</f>
        <v>Shipments</v>
      </c>
      <c r="O60" s="2">
        <v>2144</v>
      </c>
      <c r="R60" s="2">
        <v>1374</v>
      </c>
      <c r="T60" s="2">
        <v>1416</v>
      </c>
      <c r="W60" s="2">
        <v>1152</v>
      </c>
      <c r="Y60" s="2">
        <v>672</v>
      </c>
    </row>
    <row r="61" spans="1:32" x14ac:dyDescent="0.35">
      <c r="A61" s="2" t="str">
        <f xml:space="preserve"> _xll.EPMOlapMemberO("[LOCID].[].[Munich plant]","","Munich plant","","000")</f>
        <v>Munich plant</v>
      </c>
      <c r="B61" s="2" t="str">
        <f xml:space="preserve"> _xll.EPMOlapMemberO("[PRDID].[].[999-52406-0059]","","999-52406-0059","","000")</f>
        <v>999-52406-0059</v>
      </c>
      <c r="C61" s="2" t="str">
        <f xml:space="preserve"> _xll.EPMOlapMemberO("[BRAND].[].[ L&amp;M]",""," L&amp;M","","000")</f>
        <v xml:space="preserve"> L&amp;M</v>
      </c>
      <c r="D61" s="2" t="str">
        <f xml:space="preserve"> _xll.EPMOlapMemberO("[AM2MARKETDESCR].[].[ROMANIA ]","","ROMANIA ","","000")</f>
        <v xml:space="preserve">ROMANIA </v>
      </c>
      <c r="E61" s="2" t="str">
        <f xml:space="preserve"> _xll.EPMOlapMemberO("[AM2PARENTCUSTGROUP].[].[Mondelez]","","Mondelez","","000")</f>
        <v>Mondelez</v>
      </c>
      <c r="F61" s="2" t="str">
        <f xml:space="preserve"> _xll.EPMOlapMemberO("[KEY_FIGURES].[].[AM2ACTUALSHIPMENTS]","","Shipments","","000")</f>
        <v>Shipments</v>
      </c>
      <c r="O61" s="2">
        <v>269.06301500000001</v>
      </c>
      <c r="P61" s="2">
        <v>243.02465699999999</v>
      </c>
      <c r="Q61" s="2">
        <v>269.06301300000001</v>
      </c>
      <c r="R61" s="2">
        <v>260.38356099999999</v>
      </c>
      <c r="S61" s="2">
        <v>269.06301400000001</v>
      </c>
      <c r="T61" s="2">
        <v>260.38356199999998</v>
      </c>
      <c r="U61" s="2">
        <v>269.063016</v>
      </c>
      <c r="V61" s="2">
        <v>269.063016</v>
      </c>
      <c r="W61" s="2">
        <v>260.38355999999999</v>
      </c>
      <c r="X61" s="2">
        <v>269.06301400000001</v>
      </c>
      <c r="Y61" s="2">
        <v>3168</v>
      </c>
      <c r="AA61" s="2">
        <v>240</v>
      </c>
    </row>
    <row r="62" spans="1:32" x14ac:dyDescent="0.35">
      <c r="A62" s="2" t="str">
        <f xml:space="preserve"> _xll.EPMOlapMemberO("[LOCID].[].[Munich plant]","","Munich plant","","000")</f>
        <v>Munich plant</v>
      </c>
      <c r="B62" s="2" t="str">
        <f xml:space="preserve"> _xll.EPMOlapMemberO("[PRDID].[].[999-52406-0060]","","999-52406-0060","","000")</f>
        <v>999-52406-0060</v>
      </c>
      <c r="C62" s="2" t="str">
        <f xml:space="preserve"> _xll.EPMOlapMemberO("[BRAND].[].[ L&amp;M]",""," L&amp;M","","000")</f>
        <v xml:space="preserve"> L&amp;M</v>
      </c>
      <c r="D62" s="2" t="str">
        <f xml:space="preserve"> _xll.EPMOlapMemberO("[AM2MARKETDESCR].[].[SLOVAK REPUBLIC ]","","SLOVAK REPUBLIC ","","000")</f>
        <v xml:space="preserve">SLOVAK REPUBLIC </v>
      </c>
      <c r="E62" s="2" t="str">
        <f xml:space="preserve"> _xll.EPMOlapMemberO("[AM2PARENTCUSTGROUP].[].[Mondelez]","","Mondelez","","000")</f>
        <v>Mondelez</v>
      </c>
      <c r="F62" s="2" t="str">
        <f xml:space="preserve"> _xll.EPMOlapMemberO("[KEY_FIGURES].[].[AM2ACTUALSHIPMENTS]","","Shipments","","000")</f>
        <v>Shipments</v>
      </c>
      <c r="O62" s="2">
        <v>171.22192000000001</v>
      </c>
      <c r="P62" s="2">
        <v>154.65205700000001</v>
      </c>
      <c r="Q62" s="2">
        <v>171.22191900000001</v>
      </c>
      <c r="R62" s="2">
        <v>165.69862900000001</v>
      </c>
      <c r="S62" s="2">
        <v>171.22191699999999</v>
      </c>
      <c r="T62" s="2">
        <v>165.69863100000001</v>
      </c>
      <c r="U62" s="2">
        <v>171.22192000000001</v>
      </c>
      <c r="V62" s="2">
        <v>171.22192000000001</v>
      </c>
      <c r="W62" s="2">
        <v>165.69862800000001</v>
      </c>
      <c r="X62" s="2">
        <v>171.22191599999999</v>
      </c>
      <c r="Z62" s="2">
        <v>2016</v>
      </c>
      <c r="AB62" s="2">
        <v>672</v>
      </c>
    </row>
    <row r="63" spans="1:32" x14ac:dyDescent="0.35">
      <c r="A63" s="2" t="str">
        <f xml:space="preserve"> _xll.EPMOlapMemberO("[LOCID].[].[Munich plant]","","Munich plant","","000")</f>
        <v>Munich plant</v>
      </c>
      <c r="B63" s="2" t="str">
        <f xml:space="preserve"> _xll.EPMOlapMemberO("[PRDID].[].[999-52406-0061]","","999-52406-0061","","000")</f>
        <v>999-52406-0061</v>
      </c>
      <c r="C63" s="2" t="str">
        <f xml:space="preserve"> _xll.EPMOlapMemberO("[BRAND].[].[ L&amp;M]",""," L&amp;M","","000")</f>
        <v xml:space="preserve"> L&amp;M</v>
      </c>
      <c r="D63" s="2" t="str">
        <f xml:space="preserve"> _xll.EPMOlapMemberO("[AM2MARKETDESCR].[].[SLOVAK REPUBLIC ]","","SLOVAK REPUBLIC ","","000")</f>
        <v xml:space="preserve">SLOVAK REPUBLIC </v>
      </c>
      <c r="E63" s="2" t="str">
        <f xml:space="preserve"> _xll.EPMOlapMemberO("[AM2PARENTCUSTGROUP].[].[Mondelez]","","Mondelez","","000")</f>
        <v>Mondelez</v>
      </c>
      <c r="F63" s="2" t="str">
        <f xml:space="preserve"> _xll.EPMOlapMemberO("[KEY_FIGURES].[].[AM2ACTUALSHIPMENTS]","","Shipments","","000")</f>
        <v>Shipments</v>
      </c>
      <c r="O63" s="2">
        <v>40.087673000000002</v>
      </c>
      <c r="P63" s="2">
        <v>36.208221000000002</v>
      </c>
      <c r="Q63" s="2">
        <v>40.087673000000002</v>
      </c>
      <c r="R63" s="2">
        <v>38.794521000000003</v>
      </c>
      <c r="S63" s="2">
        <v>40.087671</v>
      </c>
      <c r="T63" s="2">
        <v>38.794522000000001</v>
      </c>
      <c r="U63" s="2">
        <v>40.087673000000002</v>
      </c>
      <c r="V63" s="2">
        <v>40.087673000000002</v>
      </c>
      <c r="W63" s="2">
        <v>38.794517999999997</v>
      </c>
      <c r="X63" s="2">
        <v>40.087668999999998</v>
      </c>
      <c r="Z63" s="2">
        <v>472</v>
      </c>
      <c r="AA63" s="2">
        <v>1352</v>
      </c>
    </row>
    <row r="64" spans="1:32" x14ac:dyDescent="0.35">
      <c r="A64" s="2" t="str">
        <f xml:space="preserve"> _xll.EPMOlapMemberO("[LOCID].[].[Munich plant]","","Munich plant","","000")</f>
        <v>Munich plant</v>
      </c>
      <c r="B64" s="2" t="str">
        <f xml:space="preserve"> _xll.EPMOlapMemberO("[PRDID].[].[999-52406-0066]","","999-52406-0066","","000")</f>
        <v>999-52406-0066</v>
      </c>
      <c r="C64" s="2" t="str">
        <f xml:space="preserve"> _xll.EPMOlapMemberO("[BRAND].[].[ L&amp;M]",""," L&amp;M","","000")</f>
        <v xml:space="preserve"> L&amp;M</v>
      </c>
      <c r="D64" s="2" t="str">
        <f xml:space="preserve"> _xll.EPMOlapMemberO("[AM2MARKETDESCR].[].[MOLDOVA ]","","MOLDOVA ","","000")</f>
        <v xml:space="preserve">MOLDOVA </v>
      </c>
      <c r="E64" s="2" t="str">
        <f xml:space="preserve"> _xll.EPMOlapMemberO("[AM2PARENTCUSTGROUP].[].[Mondelez]","","Mondelez","","000")</f>
        <v>Mondelez</v>
      </c>
      <c r="F64" s="2" t="str">
        <f xml:space="preserve"> _xll.EPMOlapMemberO("[KEY_FIGURES].[].[AM2ORDERINTAKE]","","Sales Order","","000")</f>
        <v>Sales Order</v>
      </c>
      <c r="AF64" s="2">
        <v>308</v>
      </c>
    </row>
    <row r="65" spans="1:36" x14ac:dyDescent="0.35">
      <c r="A65" s="2" t="str">
        <f xml:space="preserve"> _xll.EPMOlapMemberO("[LOCID].[].[Munich plant]","","Munich plant","","000")</f>
        <v>Munich plant</v>
      </c>
      <c r="B65" s="2" t="str">
        <f xml:space="preserve"> _xll.EPMOlapMemberO("[PRDID].[].[999-52406-0066]","","999-52406-0066","","000")</f>
        <v>999-52406-0066</v>
      </c>
      <c r="C65" s="2" t="str">
        <f xml:space="preserve"> _xll.EPMOlapMemberO("[BRAND].[].[ L&amp;M]",""," L&amp;M","","000")</f>
        <v xml:space="preserve"> L&amp;M</v>
      </c>
      <c r="D65" s="2" t="str">
        <f xml:space="preserve"> _xll.EPMOlapMemberO("[AM2MARKETDESCR].[].[MOLDOVA ]","","MOLDOVA ","","000")</f>
        <v xml:space="preserve">MOLDOVA </v>
      </c>
      <c r="E65" s="2" t="str">
        <f xml:space="preserve"> _xll.EPMOlapMemberO("[AM2PARENTCUSTGROUP].[].[Mondelez]","","Mondelez","","000")</f>
        <v>Mondelez</v>
      </c>
      <c r="F65" s="2" t="str">
        <f xml:space="preserve"> _xll.EPMOlapMemberO("[KEY_FIGURES].[].[AM2ACTUALSHIPMENTS]","","Shipments","","000")</f>
        <v>Shipments</v>
      </c>
      <c r="AF65" s="2">
        <v>312</v>
      </c>
    </row>
    <row r="66" spans="1:36" x14ac:dyDescent="0.35">
      <c r="A66" s="2" t="str">
        <f xml:space="preserve"> _xll.EPMOlapMemberO("[LOCID].[].[Munich plant]","","Munich plant","","000")</f>
        <v>Munich plant</v>
      </c>
      <c r="B66" s="2" t="str">
        <f xml:space="preserve"> _xll.EPMOlapMemberO("[PRDID].[].[999-52406-0069]","","999-52406-0069","","000")</f>
        <v>999-52406-0069</v>
      </c>
      <c r="C66" s="2" t="str">
        <f xml:space="preserve"> _xll.EPMOlapMemberO("[BRAND].[].[ L&amp;M]",""," L&amp;M","","000")</f>
        <v xml:space="preserve"> L&amp;M</v>
      </c>
      <c r="D66" s="2" t="str">
        <f xml:space="preserve"> _xll.EPMOlapMemberO("[AM2MARKETDESCR].[].[UKRAINE ]","","UKRAINE ","","000")</f>
        <v xml:space="preserve">UKRAINE </v>
      </c>
      <c r="E66" s="2" t="str">
        <f xml:space="preserve"> _xll.EPMOlapMemberO("[AM2PARENTCUSTGROUP].[].[Mondelez]","","Mondelez","","000")</f>
        <v>Mondelez</v>
      </c>
      <c r="F66" s="2" t="str">
        <f xml:space="preserve"> _xll.EPMOlapMemberO("[KEY_FIGURES].[].[AM2ORDERINTAKE]","","Sales Order","","000")</f>
        <v>Sales Order</v>
      </c>
      <c r="AH66" s="2">
        <v>2023</v>
      </c>
    </row>
    <row r="67" spans="1:36" x14ac:dyDescent="0.35">
      <c r="A67" s="2" t="str">
        <f xml:space="preserve"> _xll.EPMOlapMemberO("[LOCID].[].[Munich plant]","","Munich plant","","000")</f>
        <v>Munich plant</v>
      </c>
      <c r="B67" s="2" t="str">
        <f xml:space="preserve"> _xll.EPMOlapMemberO("[PRDID].[].[999-52406-0069]","","999-52406-0069","","000")</f>
        <v>999-52406-0069</v>
      </c>
      <c r="C67" s="2" t="str">
        <f xml:space="preserve"> _xll.EPMOlapMemberO("[BRAND].[].[ L&amp;M]",""," L&amp;M","","000")</f>
        <v xml:space="preserve"> L&amp;M</v>
      </c>
      <c r="D67" s="2" t="str">
        <f xml:space="preserve"> _xll.EPMOlapMemberO("[AM2MARKETDESCR].[].[UKRAINE ]","","UKRAINE ","","000")</f>
        <v xml:space="preserve">UKRAINE </v>
      </c>
      <c r="E67" s="2" t="str">
        <f xml:space="preserve"> _xll.EPMOlapMemberO("[AM2PARENTCUSTGROUP].[].[Mondelez]","","Mondelez","","000")</f>
        <v>Mondelez</v>
      </c>
      <c r="F67" s="2" t="str">
        <f xml:space="preserve"> _xll.EPMOlapMemberO("[KEY_FIGURES].[].[AM2ACTUALSHIPMENTS]","","Shipments","","000")</f>
        <v>Shipments</v>
      </c>
      <c r="AH67" s="2">
        <v>2030</v>
      </c>
    </row>
    <row r="68" spans="1:36" x14ac:dyDescent="0.35">
      <c r="A68" s="2" t="str">
        <f xml:space="preserve"> _xll.EPMOlapMemberO("[LOCID].[].[Munich plant]","","Munich plant","","000")</f>
        <v>Munich plant</v>
      </c>
      <c r="B68" s="2" t="str">
        <f xml:space="preserve"> _xll.EPMOlapMemberO("[PRDID].[].[999-52668-0036]","","999-52668-0036","","000")</f>
        <v>999-52668-0036</v>
      </c>
      <c r="C68" s="2" t="str">
        <f xml:space="preserve"> _xll.EPMOlapMemberO("[BRAND].[].[ LARK]",""," LARK","","000")</f>
        <v xml:space="preserve"> LARK</v>
      </c>
      <c r="D68" s="2" t="str">
        <f xml:space="preserve"> _xll.EPMOlapMemberO("[AM2MARKETDESCR].[].[TURKEY DF]","","TURKEY DF","","000")</f>
        <v>TURKEY DF</v>
      </c>
      <c r="E68" s="2" t="str">
        <f xml:space="preserve"> _xll.EPMOlapMemberO("[AM2PARENTCUSTGROUP].[].[Mondelez]","","Mondelez","","000")</f>
        <v>Mondelez</v>
      </c>
      <c r="F68" s="2" t="str">
        <f xml:space="preserve"> _xll.EPMOlapMemberO("[KEY_FIGURES].[].[AM2ORDERINTAKE]","","Sales Order","","000")</f>
        <v>Sales Order</v>
      </c>
      <c r="AF68" s="2">
        <v>1053</v>
      </c>
      <c r="AH68" s="2">
        <v>1638</v>
      </c>
    </row>
    <row r="69" spans="1:36" x14ac:dyDescent="0.35">
      <c r="A69" s="2" t="str">
        <f xml:space="preserve"> _xll.EPMOlapMemberO("[LOCID].[].[Munich plant]","","Munich plant","","000")</f>
        <v>Munich plant</v>
      </c>
      <c r="B69" s="2" t="str">
        <f xml:space="preserve"> _xll.EPMOlapMemberO("[PRDID].[].[999-52668-0036]","","999-52668-0036","","000")</f>
        <v>999-52668-0036</v>
      </c>
      <c r="C69" s="2" t="str">
        <f xml:space="preserve"> _xll.EPMOlapMemberO("[BRAND].[].[ LARK]",""," LARK","","000")</f>
        <v xml:space="preserve"> LARK</v>
      </c>
      <c r="D69" s="2" t="str">
        <f xml:space="preserve"> _xll.EPMOlapMemberO("[AM2MARKETDESCR].[].[TURKEY DF]","","TURKEY DF","","000")</f>
        <v>TURKEY DF</v>
      </c>
      <c r="E69" s="2" t="str">
        <f xml:space="preserve"> _xll.EPMOlapMemberO("[AM2PARENTCUSTGROUP].[].[Mondelez]","","Mondelez","","000")</f>
        <v>Mondelez</v>
      </c>
      <c r="F69" s="2" t="str">
        <f xml:space="preserve"> _xll.EPMOlapMemberO("[KEY_FIGURES].[].[AM2ACTUALSHIPMENTS]","","Shipments","","000")</f>
        <v>Shipments</v>
      </c>
      <c r="AH69" s="2">
        <v>702</v>
      </c>
      <c r="AI69" s="2">
        <v>380.25</v>
      </c>
      <c r="AJ69" s="2">
        <v>1638</v>
      </c>
    </row>
    <row r="70" spans="1:36" x14ac:dyDescent="0.35">
      <c r="A70" s="2" t="str">
        <f xml:space="preserve"> _xll.EPMOlapMemberO("[LOCID].[].[Munich plant]","","Munich plant","","000")</f>
        <v>Munich plant</v>
      </c>
      <c r="B70" s="2" t="str">
        <f xml:space="preserve"> _xll.EPMOlapMemberO("[PRDID].[].[999-52671-0041]","","999-52671-0041","","000")</f>
        <v>999-52671-0041</v>
      </c>
      <c r="C70" s="2" t="str">
        <f xml:space="preserve"> _xll.EPMOlapMemberO("[BRAND].[].[ L&amp;M]",""," L&amp;M","","000")</f>
        <v xml:space="preserve"> L&amp;M</v>
      </c>
      <c r="D70" s="2" t="str">
        <f xml:space="preserve"> _xll.EPMOlapMemberO("[AM2MARKETDESCR].[].[LUXEMBURG ]","","LUXEMBURG ","","000")</f>
        <v xml:space="preserve">LUXEMBURG </v>
      </c>
      <c r="E70" s="2" t="str">
        <f xml:space="preserve"> _xll.EPMOlapMemberO("[AM2PARENTCUSTGROUP].[].[Mondelez]","","Mondelez","","000")</f>
        <v>Mondelez</v>
      </c>
      <c r="F70" s="2" t="str">
        <f xml:space="preserve"> _xll.EPMOlapMemberO("[KEY_FIGURES].[].[AM2ORDERINTAKE]","","Sales Order","","000")</f>
        <v>Sales Order</v>
      </c>
      <c r="S70" s="2">
        <v>168</v>
      </c>
    </row>
    <row r="71" spans="1:36" x14ac:dyDescent="0.35">
      <c r="A71" s="2" t="str">
        <f xml:space="preserve"> _xll.EPMOlapMemberO("[LOCID].[].[Munich plant]","","Munich plant","","000")</f>
        <v>Munich plant</v>
      </c>
      <c r="B71" s="2" t="str">
        <f xml:space="preserve"> _xll.EPMOlapMemberO("[PRDID].[].[999-52671-0041]","","999-52671-0041","","000")</f>
        <v>999-52671-0041</v>
      </c>
      <c r="C71" s="2" t="str">
        <f xml:space="preserve"> _xll.EPMOlapMemberO("[BRAND].[].[ L&amp;M]",""," L&amp;M","","000")</f>
        <v xml:space="preserve"> L&amp;M</v>
      </c>
      <c r="D71" s="2" t="str">
        <f xml:space="preserve"> _xll.EPMOlapMemberO("[AM2MARKETDESCR].[].[LUXEMBURG ]","","LUXEMBURG ","","000")</f>
        <v xml:space="preserve">LUXEMBURG </v>
      </c>
      <c r="E71" s="2" t="str">
        <f xml:space="preserve"> _xll.EPMOlapMemberO("[AM2PARENTCUSTGROUP].[].[Mondelez]","","Mondelez","","000")</f>
        <v>Mondelez</v>
      </c>
      <c r="F71" s="2" t="str">
        <f xml:space="preserve"> _xll.EPMOlapMemberO("[KEY_FIGURES].[].[AM2ACTUALSHIPMENTS]","","Shipments","","000")</f>
        <v>Shipments</v>
      </c>
      <c r="O71" s="2">
        <v>12.484932000000001</v>
      </c>
      <c r="P71" s="2">
        <v>11.276712</v>
      </c>
      <c r="Q71" s="2">
        <v>12.48493</v>
      </c>
      <c r="R71" s="2">
        <v>12.082191999999999</v>
      </c>
      <c r="S71" s="2">
        <v>12.484931</v>
      </c>
      <c r="T71" s="2">
        <v>12.082191</v>
      </c>
      <c r="U71" s="2">
        <v>12.484935</v>
      </c>
      <c r="V71" s="2">
        <v>12.484935</v>
      </c>
      <c r="W71" s="2">
        <v>12.082190000000001</v>
      </c>
      <c r="X71" s="2">
        <v>12.484931</v>
      </c>
      <c r="Y71" s="2">
        <v>147</v>
      </c>
    </row>
    <row r="72" spans="1:36" x14ac:dyDescent="0.35">
      <c r="A72" s="2" t="str">
        <f xml:space="preserve"> _xll.EPMOlapMemberO("[LOCID].[].[Munich plant]","","Munich plant","","000")</f>
        <v>Munich plant</v>
      </c>
      <c r="B72" s="2" t="str">
        <f xml:space="preserve"> _xll.EPMOlapMemberO("[PRDID].[].[999-52994-0005]","","999-52994-0005","","000")</f>
        <v>999-52994-0005</v>
      </c>
      <c r="C72" s="2" t="str">
        <f xml:space="preserve"> _xll.EPMOlapMemberO("[BRAND].[].[ PARLIAMENT]",""," PARLIAMENT","","000")</f>
        <v xml:space="preserve"> PARLIAMENT</v>
      </c>
      <c r="D72" s="2" t="str">
        <f xml:space="preserve"> _xll.EPMOlapMemberO("[AM2MARKETDESCR].[].[CHINA ]","","CHINA ","","000")</f>
        <v xml:space="preserve">CHINA </v>
      </c>
      <c r="E72" s="2" t="str">
        <f xml:space="preserve"> _xll.EPMOlapMemberO("[AM2PARENTCUSTGROUP].[].[Mondelez]","","Mondelez","","000")</f>
        <v>Mondelez</v>
      </c>
      <c r="F72" s="2" t="str">
        <f xml:space="preserve"> _xll.EPMOlapMemberO("[KEY_FIGURES].[].[AM2ORDERINTAKE]","","Sales Order","","000")</f>
        <v>Sales Order</v>
      </c>
      <c r="J72" s="2">
        <v>88.32</v>
      </c>
      <c r="N72" s="2">
        <v>376</v>
      </c>
    </row>
    <row r="73" spans="1:36" x14ac:dyDescent="0.35">
      <c r="A73" s="2" t="str">
        <f xml:space="preserve"> _xll.EPMOlapMemberO("[LOCID].[].[Munich plant]","","Munich plant","","000")</f>
        <v>Munich plant</v>
      </c>
      <c r="B73" s="2" t="str">
        <f xml:space="preserve"> _xll.EPMOlapMemberO("[PRDID].[].[999-52994-0005]","","999-52994-0005","","000")</f>
        <v>999-52994-0005</v>
      </c>
      <c r="C73" s="2" t="str">
        <f xml:space="preserve"> _xll.EPMOlapMemberO("[BRAND].[].[ PARLIAMENT]",""," PARLIAMENT","","000")</f>
        <v xml:space="preserve"> PARLIAMENT</v>
      </c>
      <c r="D73" s="2" t="str">
        <f xml:space="preserve"> _xll.EPMOlapMemberO("[AM2MARKETDESCR].[].[CHINA ]","","CHINA ","","000")</f>
        <v xml:space="preserve">CHINA </v>
      </c>
      <c r="E73" s="2" t="str">
        <f xml:space="preserve"> _xll.EPMOlapMemberO("[AM2PARENTCUSTGROUP].[].[Mondelez]","","Mondelez","","000")</f>
        <v>Mondelez</v>
      </c>
      <c r="F73" s="2" t="str">
        <f xml:space="preserve"> _xll.EPMOlapMemberO("[KEY_FIGURES].[].[AM2ACTUALSHIPMENTS]","","Shipments","","000")</f>
        <v>Shipments</v>
      </c>
      <c r="J73" s="2">
        <v>51.52</v>
      </c>
      <c r="N73" s="2">
        <v>367.68</v>
      </c>
    </row>
    <row r="74" spans="1:36" x14ac:dyDescent="0.35">
      <c r="A74" s="2" t="str">
        <f xml:space="preserve"> _xll.EPMOlapMemberO("[LOCID].[].[Munich plant]","","Munich plant","","000")</f>
        <v>Munich plant</v>
      </c>
      <c r="B74" s="2" t="str">
        <f xml:space="preserve"> _xll.EPMOlapMemberO("[PRDID].[].[999-52994-0006]","","999-52994-0006","","000")</f>
        <v>999-52994-0006</v>
      </c>
      <c r="C74" s="2" t="str">
        <f xml:space="preserve"> _xll.EPMOlapMemberO("[BRAND].[].[ PARLIAMENT]",""," PARLIAMENT","","000")</f>
        <v xml:space="preserve"> PARLIAMENT</v>
      </c>
      <c r="D74" s="2" t="str">
        <f xml:space="preserve"> _xll.EPMOlapMemberO("[AM2MARKETDESCR].[].[CHINA ]","","CHINA ","","000")</f>
        <v xml:space="preserve">CHINA </v>
      </c>
      <c r="E74" s="2" t="str">
        <f xml:space="preserve"> _xll.EPMOlapMemberO("[AM2PARENTCUSTGROUP].[].[Mondelez]","","Mondelez","","000")</f>
        <v>Mondelez</v>
      </c>
      <c r="F74" s="2" t="str">
        <f xml:space="preserve"> _xll.EPMOlapMemberO("[KEY_FIGURES].[].[AM2ACTUALSHIPMENTS]","","Shipments","","000")</f>
        <v>Shipments</v>
      </c>
      <c r="O74" s="2">
        <v>618.24</v>
      </c>
    </row>
    <row r="75" spans="1:36" x14ac:dyDescent="0.35">
      <c r="A75" s="2" t="str">
        <f xml:space="preserve"> _xll.EPMOlapMemberO("[LOCID].[].[Munich plant]","","Munich plant","","000")</f>
        <v>Munich plant</v>
      </c>
      <c r="B75" s="2" t="str">
        <f xml:space="preserve"> _xll.EPMOlapMemberO("[PRDID].[].[999-53142-0424]","","999-53142-0424","","000")</f>
        <v>999-53142-0424</v>
      </c>
      <c r="C75" s="2" t="str">
        <f xml:space="preserve"> _xll.EPMOlapMemberO("[BRAND].[].[ MARLBORO]",""," MARLBORO","","000")</f>
        <v xml:space="preserve"> MARLBORO</v>
      </c>
      <c r="D75" s="2" t="str">
        <f xml:space="preserve"> _xll.EPMOlapMemberO("[AM2MARKETDESCR].[].[ALGERIA ESTIC]","","ALGERIA ESTIC","","000")</f>
        <v>ALGERIA ESTIC</v>
      </c>
      <c r="E75" s="2" t="str">
        <f xml:space="preserve"> _xll.EPMOlapMemberO("[AM2PARENTCUSTGROUP].[].[Mondelez]","","Mondelez","","000")</f>
        <v>Mondelez</v>
      </c>
      <c r="F75" s="2" t="str">
        <f xml:space="preserve"> _xll.EPMOlapMemberO("[KEY_FIGURES].[].[AM2ORDERINTAKE]","","Sales Order","","000")</f>
        <v>Sales Order</v>
      </c>
      <c r="AE75" s="2">
        <v>21600</v>
      </c>
      <c r="AF75" s="2">
        <v>6000</v>
      </c>
      <c r="AG75" s="2">
        <v>12960</v>
      </c>
      <c r="AH75" s="2">
        <v>4320</v>
      </c>
      <c r="AI75" s="2">
        <v>8640</v>
      </c>
      <c r="AJ75" s="2">
        <v>12960</v>
      </c>
    </row>
    <row r="76" spans="1:36" x14ac:dyDescent="0.35">
      <c r="A76" s="2" t="str">
        <f xml:space="preserve"> _xll.EPMOlapMemberO("[LOCID].[].[Munich plant]","","Munich plant","","000")</f>
        <v>Munich plant</v>
      </c>
      <c r="B76" s="2" t="str">
        <f xml:space="preserve"> _xll.EPMOlapMemberO("[PRDID].[].[999-53142-0424]","","999-53142-0424","","000")</f>
        <v>999-53142-0424</v>
      </c>
      <c r="C76" s="2" t="str">
        <f xml:space="preserve"> _xll.EPMOlapMemberO("[BRAND].[].[ MARLBORO]",""," MARLBORO","","000")</f>
        <v xml:space="preserve"> MARLBORO</v>
      </c>
      <c r="D76" s="2" t="str">
        <f xml:space="preserve"> _xll.EPMOlapMemberO("[AM2MARKETDESCR].[].[ALGERIA ESTIC]","","ALGERIA ESTIC","","000")</f>
        <v>ALGERIA ESTIC</v>
      </c>
      <c r="E76" s="2" t="str">
        <f xml:space="preserve"> _xll.EPMOlapMemberO("[AM2PARENTCUSTGROUP].[].[Mondelez]","","Mondelez","","000")</f>
        <v>Mondelez</v>
      </c>
      <c r="F76" s="2" t="str">
        <f xml:space="preserve"> _xll.EPMOlapMemberO("[KEY_FIGURES].[].[AM2ACTUALSHIPMENTS]","","Shipments","","000")</f>
        <v>Shipments</v>
      </c>
      <c r="AE76" s="2">
        <v>12960</v>
      </c>
      <c r="AF76" s="2">
        <v>6000</v>
      </c>
      <c r="AG76" s="2">
        <v>4160</v>
      </c>
      <c r="AH76" s="2">
        <v>4320</v>
      </c>
      <c r="AI76" s="2">
        <v>4320</v>
      </c>
      <c r="AJ76" s="2">
        <v>17250</v>
      </c>
    </row>
    <row r="77" spans="1:36" x14ac:dyDescent="0.35">
      <c r="A77" s="2" t="str">
        <f xml:space="preserve"> _xll.EPMOlapMemberO("[LOCID].[].[Munich plant]","","Munich plant","","000")</f>
        <v>Munich plant</v>
      </c>
      <c r="B77" s="2" t="str">
        <f xml:space="preserve"> _xll.EPMOlapMemberO("[PRDID].[].[999-53408-0033]","","999-53408-0033","","000")</f>
        <v>999-53408-0033</v>
      </c>
      <c r="C77" s="2" t="str">
        <f xml:space="preserve"> _xll.EPMOlapMemberO("[BRAND].[].[ BOND STREET]",""," BOND STREET","","000")</f>
        <v xml:space="preserve"> BOND STREET</v>
      </c>
      <c r="D77" s="2" t="str">
        <f xml:space="preserve"> _xll.EPMOlapMemberO("[AM2MARKETDESCR].[].[MOLDOVA ]","","MOLDOVA ","","000")</f>
        <v xml:space="preserve">MOLDOVA </v>
      </c>
      <c r="E77" s="2" t="str">
        <f xml:space="preserve"> _xll.EPMOlapMemberO("[AM2PARENTCUSTGROUP].[].[Mondelez]","","Mondelez","","000")</f>
        <v>Mondelez</v>
      </c>
      <c r="F77" s="2" t="str">
        <f xml:space="preserve"> _xll.EPMOlapMemberO("[KEY_FIGURES].[].[AM2ORDERINTAKE]","","Sales Order","","000")</f>
        <v>Sales Order</v>
      </c>
      <c r="AF77" s="2">
        <v>702</v>
      </c>
    </row>
    <row r="78" spans="1:36" x14ac:dyDescent="0.35">
      <c r="A78" s="2" t="str">
        <f xml:space="preserve"> _xll.EPMOlapMemberO("[LOCID].[].[Munich plant]","","Munich plant","","000")</f>
        <v>Munich plant</v>
      </c>
      <c r="B78" s="2" t="str">
        <f xml:space="preserve"> _xll.EPMOlapMemberO("[PRDID].[].[999-53408-0033]","","999-53408-0033","","000")</f>
        <v>999-53408-0033</v>
      </c>
      <c r="C78" s="2" t="str">
        <f xml:space="preserve"> _xll.EPMOlapMemberO("[BRAND].[].[ BOND STREET]",""," BOND STREET","","000")</f>
        <v xml:space="preserve"> BOND STREET</v>
      </c>
      <c r="D78" s="2" t="str">
        <f xml:space="preserve"> _xll.EPMOlapMemberO("[AM2MARKETDESCR].[].[MOLDOVA ]","","MOLDOVA ","","000")</f>
        <v xml:space="preserve">MOLDOVA </v>
      </c>
      <c r="E78" s="2" t="str">
        <f xml:space="preserve"> _xll.EPMOlapMemberO("[AM2PARENTCUSTGROUP].[].[Mondelez]","","Mondelez","","000")</f>
        <v>Mondelez</v>
      </c>
      <c r="F78" s="2" t="str">
        <f xml:space="preserve"> _xll.EPMOlapMemberO("[KEY_FIGURES].[].[AM2ACTUALSHIPMENTS]","","Shipments","","000")</f>
        <v>Shipments</v>
      </c>
      <c r="AF78" s="2">
        <v>702</v>
      </c>
    </row>
    <row r="79" spans="1:36" x14ac:dyDescent="0.35">
      <c r="A79" s="2" t="str">
        <f xml:space="preserve"> _xll.EPMOlapMemberO("[LOCID].[].[Munich plant]","","Munich plant","","000")</f>
        <v>Munich plant</v>
      </c>
      <c r="B79" s="2" t="str">
        <f xml:space="preserve"> _xll.EPMOlapMemberO("[PRDID].[].[999-53408-0034]","","999-53408-0034","","000")</f>
        <v>999-53408-0034</v>
      </c>
      <c r="C79" s="2" t="str">
        <f xml:space="preserve"> _xll.EPMOlapMemberO("[BRAND].[].[ BOND STREET]",""," BOND STREET","","000")</f>
        <v xml:space="preserve"> BOND STREET</v>
      </c>
      <c r="D79" s="2" t="str">
        <f xml:space="preserve"> _xll.EPMOlapMemberO("[AM2MARKETDESCR].[].[MOLDOVA ]","","MOLDOVA ","","000")</f>
        <v xml:space="preserve">MOLDOVA </v>
      </c>
      <c r="E79" s="2" t="str">
        <f xml:space="preserve"> _xll.EPMOlapMemberO("[AM2PARENTCUSTGROUP].[].[Mondelez]","","Mondelez","","000")</f>
        <v>Mondelez</v>
      </c>
      <c r="F79" s="2" t="str">
        <f xml:space="preserve"> _xll.EPMOlapMemberO("[KEY_FIGURES].[].[AM2ORDERINTAKE]","","Sales Order","","000")</f>
        <v>Sales Order</v>
      </c>
      <c r="AF79" s="2">
        <v>1287</v>
      </c>
    </row>
    <row r="80" spans="1:36" x14ac:dyDescent="0.35">
      <c r="A80" s="2" t="str">
        <f xml:space="preserve"> _xll.EPMOlapMemberO("[LOCID].[].[Munich plant]","","Munich plant","","000")</f>
        <v>Munich plant</v>
      </c>
      <c r="B80" s="2" t="str">
        <f xml:space="preserve"> _xll.EPMOlapMemberO("[PRDID].[].[999-53408-0034]","","999-53408-0034","","000")</f>
        <v>999-53408-0034</v>
      </c>
      <c r="C80" s="2" t="str">
        <f xml:space="preserve"> _xll.EPMOlapMemberO("[BRAND].[].[ BOND STREET]",""," BOND STREET","","000")</f>
        <v xml:space="preserve"> BOND STREET</v>
      </c>
      <c r="D80" s="2" t="str">
        <f xml:space="preserve"> _xll.EPMOlapMemberO("[AM2MARKETDESCR].[].[MOLDOVA ]","","MOLDOVA ","","000")</f>
        <v xml:space="preserve">MOLDOVA </v>
      </c>
      <c r="E80" s="2" t="str">
        <f xml:space="preserve"> _xll.EPMOlapMemberO("[AM2PARENTCUSTGROUP].[].[Mondelez]","","Mondelez","","000")</f>
        <v>Mondelez</v>
      </c>
      <c r="F80" s="2" t="str">
        <f xml:space="preserve"> _xll.EPMOlapMemberO("[KEY_FIGURES].[].[AM2ACTUALSHIPMENTS]","","Shipments","","000")</f>
        <v>Shipments</v>
      </c>
      <c r="AF80" s="2">
        <v>1238.25</v>
      </c>
    </row>
    <row r="81" spans="1:36" x14ac:dyDescent="0.35">
      <c r="A81" s="2" t="str">
        <f xml:space="preserve"> _xll.EPMOlapMemberO("[LOCID].[].[Munich plant]","","Munich plant","","000")</f>
        <v>Munich plant</v>
      </c>
      <c r="B81" s="2" t="str">
        <f xml:space="preserve"> _xll.EPMOlapMemberO("[PRDID].[].[999-53559-0136]","","999-53559-0136","","000")</f>
        <v>999-53559-0136</v>
      </c>
      <c r="C81" s="2" t="str">
        <f xml:space="preserve"> _xll.EPMOlapMemberO("[BRAND].[].[ L&amp;M]",""," L&amp;M","","000")</f>
        <v xml:space="preserve"> L&amp;M</v>
      </c>
      <c r="D81" s="2" t="str">
        <f xml:space="preserve"> _xll.EPMOlapMemberO("[AM2MARKETDESCR].[].[TURKEY DF]","","TURKEY DF","","000")</f>
        <v>TURKEY DF</v>
      </c>
      <c r="E81" s="2" t="str">
        <f xml:space="preserve"> _xll.EPMOlapMemberO("[AM2PARENTCUSTGROUP].[].[Mondelez]","","Mondelez","","000")</f>
        <v>Mondelez</v>
      </c>
      <c r="F81" s="2" t="str">
        <f xml:space="preserve"> _xll.EPMOlapMemberO("[KEY_FIGURES].[].[AM2ORDERINTAKE]","","Sales Order","","000")</f>
        <v>Sales Order</v>
      </c>
      <c r="AH81" s="2">
        <v>1521</v>
      </c>
    </row>
    <row r="82" spans="1:36" x14ac:dyDescent="0.35">
      <c r="A82" s="2" t="str">
        <f xml:space="preserve"> _xll.EPMOlapMemberO("[LOCID].[].[Munich plant]","","Munich plant","","000")</f>
        <v>Munich plant</v>
      </c>
      <c r="B82" s="2" t="str">
        <f xml:space="preserve"> _xll.EPMOlapMemberO("[PRDID].[].[999-53559-0136]","","999-53559-0136","","000")</f>
        <v>999-53559-0136</v>
      </c>
      <c r="C82" s="2" t="str">
        <f xml:space="preserve"> _xll.EPMOlapMemberO("[BRAND].[].[ L&amp;M]",""," L&amp;M","","000")</f>
        <v xml:space="preserve"> L&amp;M</v>
      </c>
      <c r="D82" s="2" t="str">
        <f xml:space="preserve"> _xll.EPMOlapMemberO("[AM2MARKETDESCR].[].[TURKEY DF]","","TURKEY DF","","000")</f>
        <v>TURKEY DF</v>
      </c>
      <c r="E82" s="2" t="str">
        <f xml:space="preserve"> _xll.EPMOlapMemberO("[AM2PARENTCUSTGROUP].[].[Mondelez]","","Mondelez","","000")</f>
        <v>Mondelez</v>
      </c>
      <c r="F82" s="2" t="str">
        <f xml:space="preserve"> _xll.EPMOlapMemberO("[KEY_FIGURES].[].[AM2ACTUALSHIPMENTS]","","Shipments","","000")</f>
        <v>Shipments</v>
      </c>
      <c r="AH82" s="2">
        <v>351</v>
      </c>
      <c r="AJ82" s="2">
        <v>1170</v>
      </c>
    </row>
    <row r="83" spans="1:36" x14ac:dyDescent="0.35">
      <c r="A83" s="2" t="str">
        <f xml:space="preserve"> _xll.EPMOlapMemberO("[LOCID].[].[Munich plant]","","Munich plant","","000")</f>
        <v>Munich plant</v>
      </c>
      <c r="B83" s="2" t="str">
        <f xml:space="preserve"> _xll.EPMOlapMemberO("[PRDID].[].[999-53559-0147]","","999-53559-0147","","000")</f>
        <v>999-53559-0147</v>
      </c>
      <c r="C83" s="2" t="str">
        <f xml:space="preserve"> _xll.EPMOlapMemberO("[BRAND].[].[ L&amp;M]",""," L&amp;M","","000")</f>
        <v xml:space="preserve"> L&amp;M</v>
      </c>
      <c r="D83" s="2" t="str">
        <f xml:space="preserve"> _xll.EPMOlapMemberO("[AM2MARKETDESCR].[].[SOUTH AFRICA DF]","","SOUTH AFRICA DF","","000")</f>
        <v>SOUTH AFRICA DF</v>
      </c>
      <c r="E83" s="2" t="str">
        <f xml:space="preserve"> _xll.EPMOlapMemberO("[AM2PARENTCUSTGROUP].[].[Mondelez]","","Mondelez","","000")</f>
        <v>Mondelez</v>
      </c>
      <c r="F83" s="2" t="str">
        <f xml:space="preserve"> _xll.EPMOlapMemberO("[KEY_FIGURES].[].[AM2ACTUALSHIPMENTS]","","Shipments","","000")</f>
        <v>Shipments</v>
      </c>
      <c r="AF83" s="2">
        <v>195</v>
      </c>
    </row>
    <row r="84" spans="1:36" x14ac:dyDescent="0.35">
      <c r="A84" s="2" t="str">
        <f xml:space="preserve"> _xll.EPMOlapMemberO("[LOCID].[].[Munich plant]","","Munich plant","","000")</f>
        <v>Munich plant</v>
      </c>
      <c r="B84" s="2" t="str">
        <f xml:space="preserve"> _xll.EPMOlapMemberO("[PRDID].[].[999-53559-0174]","","999-53559-0174","","000")</f>
        <v>999-53559-0174</v>
      </c>
      <c r="C84" s="2" t="str">
        <f xml:space="preserve"> _xll.EPMOlapMemberO("[BRAND].[].[ L&amp;M]",""," L&amp;M","","000")</f>
        <v xml:space="preserve"> L&amp;M</v>
      </c>
      <c r="D84" s="2" t="str">
        <f xml:space="preserve"> _xll.EPMOlapMemberO("[AM2MARKETDESCR].[].[EGYPT DUTY FREE]","","EGYPT DUTY FREE","","000")</f>
        <v>EGYPT DUTY FREE</v>
      </c>
      <c r="E84" s="2" t="str">
        <f xml:space="preserve"> _xll.EPMOlapMemberO("[AM2PARENTCUSTGROUP].[].[Mondelez]","","Mondelez","","000")</f>
        <v>Mondelez</v>
      </c>
      <c r="F84" s="2" t="str">
        <f xml:space="preserve"> _xll.EPMOlapMemberO("[KEY_FIGURES].[].[AM2ORDERINTAKE]","","Sales Order","","000")</f>
        <v>Sales Order</v>
      </c>
      <c r="AJ84" s="2">
        <v>936</v>
      </c>
    </row>
    <row r="85" spans="1:36" x14ac:dyDescent="0.35">
      <c r="A85" s="2" t="str">
        <f xml:space="preserve"> _xll.EPMOlapMemberO("[LOCID].[].[Munich plant]","","Munich plant","","000")</f>
        <v>Munich plant</v>
      </c>
      <c r="B85" s="2" t="str">
        <f xml:space="preserve"> _xll.EPMOlapMemberO("[PRDID].[].[999-53559-0174]","","999-53559-0174","","000")</f>
        <v>999-53559-0174</v>
      </c>
      <c r="C85" s="2" t="str">
        <f xml:space="preserve"> _xll.EPMOlapMemberO("[BRAND].[].[ L&amp;M]",""," L&amp;M","","000")</f>
        <v xml:space="preserve"> L&amp;M</v>
      </c>
      <c r="D85" s="2" t="str">
        <f xml:space="preserve"> _xll.EPMOlapMemberO("[AM2MARKETDESCR].[].[EGYPT DUTY FREE]","","EGYPT DUTY FREE","","000")</f>
        <v>EGYPT DUTY FREE</v>
      </c>
      <c r="E85" s="2" t="str">
        <f xml:space="preserve"> _xll.EPMOlapMemberO("[AM2PARENTCUSTGROUP].[].[Mondelez]","","Mondelez","","000")</f>
        <v>Mondelez</v>
      </c>
      <c r="F85" s="2" t="str">
        <f xml:space="preserve"> _xll.EPMOlapMemberO("[KEY_FIGURES].[].[AM2ACTUALSHIPMENTS]","","Shipments","","000")</f>
        <v>Shipments</v>
      </c>
      <c r="AJ85" s="2">
        <v>936</v>
      </c>
    </row>
    <row r="86" spans="1:36" x14ac:dyDescent="0.35">
      <c r="A86" s="2" t="str">
        <f xml:space="preserve"> _xll.EPMOlapMemberO("[LOCID].[].[Munich plant]","","Munich plant","","000")</f>
        <v>Munich plant</v>
      </c>
      <c r="B86" s="2" t="str">
        <f xml:space="preserve"> _xll.EPMOlapMemberO("[PRDID].[].[999-53559-0175]","","999-53559-0175","","000")</f>
        <v>999-53559-0175</v>
      </c>
      <c r="C86" s="2" t="str">
        <f xml:space="preserve"> _xll.EPMOlapMemberO("[BRAND].[].[ L&amp;M]",""," L&amp;M","","000")</f>
        <v xml:space="preserve"> L&amp;M</v>
      </c>
      <c r="D86" s="2" t="str">
        <f xml:space="preserve"> _xll.EPMOlapMemberO("[AM2MARKETDESCR].[].[GENERIC DF-ENG TXT]","","GENERIC DF-ENG TXT","","000")</f>
        <v>GENERIC DF-ENG TXT</v>
      </c>
      <c r="E86" s="2" t="str">
        <f xml:space="preserve"> _xll.EPMOlapMemberO("[AM2PARENTCUSTGROUP].[].[Mondelez]","","Mondelez","","000")</f>
        <v>Mondelez</v>
      </c>
      <c r="F86" s="2" t="str">
        <f xml:space="preserve"> _xll.EPMOlapMemberO("[KEY_FIGURES].[].[AM2ORDERINTAKE]","","Sales Order","","000")</f>
        <v>Sales Order</v>
      </c>
      <c r="AG86" s="2">
        <v>585</v>
      </c>
    </row>
    <row r="87" spans="1:36" x14ac:dyDescent="0.35">
      <c r="A87" s="2" t="str">
        <f xml:space="preserve"> _xll.EPMOlapMemberO("[LOCID].[].[Munich plant]","","Munich plant","","000")</f>
        <v>Munich plant</v>
      </c>
      <c r="B87" s="2" t="str">
        <f xml:space="preserve"> _xll.EPMOlapMemberO("[PRDID].[].[999-53559-0175]","","999-53559-0175","","000")</f>
        <v>999-53559-0175</v>
      </c>
      <c r="C87" s="2" t="str">
        <f xml:space="preserve"> _xll.EPMOlapMemberO("[BRAND].[].[ L&amp;M]",""," L&amp;M","","000")</f>
        <v xml:space="preserve"> L&amp;M</v>
      </c>
      <c r="D87" s="2" t="str">
        <f xml:space="preserve"> _xll.EPMOlapMemberO("[AM2MARKETDESCR].[].[GENERIC DF-ENG TXT]","","GENERIC DF-ENG TXT","","000")</f>
        <v>GENERIC DF-ENG TXT</v>
      </c>
      <c r="E87" s="2" t="str">
        <f xml:space="preserve"> _xll.EPMOlapMemberO("[AM2PARENTCUSTGROUP].[].[Mondelez]","","Mondelez","","000")</f>
        <v>Mondelez</v>
      </c>
      <c r="F87" s="2" t="str">
        <f xml:space="preserve"> _xll.EPMOlapMemberO("[KEY_FIGURES].[].[AM2ACTUALSHIPMENTS]","","Shipments","","000")</f>
        <v>Shipments</v>
      </c>
      <c r="AI87" s="2">
        <v>585</v>
      </c>
    </row>
    <row r="88" spans="1:36" x14ac:dyDescent="0.35">
      <c r="A88" s="2" t="str">
        <f xml:space="preserve"> _xll.EPMOlapMemberO("[LOCID].[].[Munich plant]","","Munich plant","","000")</f>
        <v>Munich plant</v>
      </c>
      <c r="B88" s="2" t="str">
        <f xml:space="preserve"> _xll.EPMOlapMemberO("[PRDID].[].[999-53559-0176]","","999-53559-0176","","000")</f>
        <v>999-53559-0176</v>
      </c>
      <c r="C88" s="2" t="str">
        <f xml:space="preserve"> _xll.EPMOlapMemberO("[BRAND].[].[ L&amp;M]",""," L&amp;M","","000")</f>
        <v xml:space="preserve"> L&amp;M</v>
      </c>
      <c r="D88" s="2" t="str">
        <f xml:space="preserve"> _xll.EPMOlapMemberO("[AM2MARKETDESCR].[].[UAE DF]","","UAE DF","","000")</f>
        <v>UAE DF</v>
      </c>
      <c r="E88" s="2" t="str">
        <f xml:space="preserve"> _xll.EPMOlapMemberO("[AM2PARENTCUSTGROUP].[].[Mondelez]","","Mondelez","","000")</f>
        <v>Mondelez</v>
      </c>
      <c r="F88" s="2" t="str">
        <f xml:space="preserve"> _xll.EPMOlapMemberO("[KEY_FIGURES].[].[AM2ORDERINTAKE]","","Sales Order","","000")</f>
        <v>Sales Order</v>
      </c>
      <c r="AE88" s="2">
        <v>585</v>
      </c>
    </row>
    <row r="89" spans="1:36" x14ac:dyDescent="0.35">
      <c r="A89" s="2" t="str">
        <f xml:space="preserve"> _xll.EPMOlapMemberO("[LOCID].[].[Munich plant]","","Munich plant","","000")</f>
        <v>Munich plant</v>
      </c>
      <c r="B89" s="2" t="str">
        <f xml:space="preserve"> _xll.EPMOlapMemberO("[PRDID].[].[999-53559-0176]","","999-53559-0176","","000")</f>
        <v>999-53559-0176</v>
      </c>
      <c r="C89" s="2" t="str">
        <f xml:space="preserve"> _xll.EPMOlapMemberO("[BRAND].[].[ L&amp;M]",""," L&amp;M","","000")</f>
        <v xml:space="preserve"> L&amp;M</v>
      </c>
      <c r="D89" s="2" t="str">
        <f xml:space="preserve"> _xll.EPMOlapMemberO("[AM2MARKETDESCR].[].[UAE DF]","","UAE DF","","000")</f>
        <v>UAE DF</v>
      </c>
      <c r="E89" s="2" t="str">
        <f xml:space="preserve"> _xll.EPMOlapMemberO("[AM2PARENTCUSTGROUP].[].[Mondelez]","","Mondelez","","000")</f>
        <v>Mondelez</v>
      </c>
      <c r="F89" s="2" t="str">
        <f xml:space="preserve"> _xll.EPMOlapMemberO("[KEY_FIGURES].[].[AM2ACTUALSHIPMENTS]","","Shipments","","000")</f>
        <v>Shipments</v>
      </c>
      <c r="AE89" s="2">
        <v>585</v>
      </c>
    </row>
    <row r="90" spans="1:36" x14ac:dyDescent="0.35">
      <c r="A90" s="2" t="str">
        <f xml:space="preserve"> _xll.EPMOlapMemberO("[LOCID].[].[Munich plant]","","Munich plant","","000")</f>
        <v>Munich plant</v>
      </c>
      <c r="B90" s="2" t="str">
        <f xml:space="preserve"> _xll.EPMOlapMemberO("[PRDID].[].[999-53559-0178]","","999-53559-0178","","000")</f>
        <v>999-53559-0178</v>
      </c>
      <c r="C90" s="2" t="str">
        <f xml:space="preserve"> _xll.EPMOlapMemberO("[BRAND].[].[ L&amp;M]",""," L&amp;M","","000")</f>
        <v xml:space="preserve"> L&amp;M</v>
      </c>
      <c r="D90" s="2" t="str">
        <f xml:space="preserve"> _xll.EPMOlapMemberO("[AM2MARKETDESCR].[].[SPAIN MAINLAND ]","","SPAIN MAINLAND ","","000")</f>
        <v xml:space="preserve">SPAIN MAINLAND </v>
      </c>
      <c r="E90" s="2" t="str">
        <f xml:space="preserve"> _xll.EPMOlapMemberO("[AM2PARENTCUSTGROUP].[].[Mondelez]","","Mondelez","","000")</f>
        <v>Mondelez</v>
      </c>
      <c r="F90" s="2" t="str">
        <f xml:space="preserve"> _xll.EPMOlapMemberO("[KEY_FIGURES].[].[AM2ORDERINTAKE]","","Sales Order","","000")</f>
        <v>Sales Order</v>
      </c>
      <c r="AG90" s="2">
        <v>3674.88</v>
      </c>
      <c r="AI90" s="2">
        <v>518.4</v>
      </c>
    </row>
    <row r="91" spans="1:36" x14ac:dyDescent="0.35">
      <c r="A91" s="2" t="str">
        <f xml:space="preserve"> _xll.EPMOlapMemberO("[LOCID].[].[Munich plant]","","Munich plant","","000")</f>
        <v>Munich plant</v>
      </c>
      <c r="B91" s="2" t="str">
        <f xml:space="preserve"> _xll.EPMOlapMemberO("[PRDID].[].[999-53559-0178]","","999-53559-0178","","000")</f>
        <v>999-53559-0178</v>
      </c>
      <c r="C91" s="2" t="str">
        <f xml:space="preserve"> _xll.EPMOlapMemberO("[BRAND].[].[ L&amp;M]",""," L&amp;M","","000")</f>
        <v xml:space="preserve"> L&amp;M</v>
      </c>
      <c r="D91" s="2" t="str">
        <f xml:space="preserve"> _xll.EPMOlapMemberO("[AM2MARKETDESCR].[].[SPAIN MAINLAND ]","","SPAIN MAINLAND ","","000")</f>
        <v xml:space="preserve">SPAIN MAINLAND </v>
      </c>
      <c r="E91" s="2" t="str">
        <f xml:space="preserve"> _xll.EPMOlapMemberO("[AM2PARENTCUSTGROUP].[].[Mondelez]","","Mondelez","","000")</f>
        <v>Mondelez</v>
      </c>
      <c r="F91" s="2" t="str">
        <f xml:space="preserve"> _xll.EPMOlapMemberO("[KEY_FIGURES].[].[AM2ACTUALSHIPMENTS]","","Shipments","","000")</f>
        <v>Shipments</v>
      </c>
      <c r="AF91" s="2">
        <v>2265.6</v>
      </c>
      <c r="AG91" s="2">
        <v>921.6</v>
      </c>
      <c r="AH91" s="2">
        <v>249.6</v>
      </c>
      <c r="AI91" s="2">
        <v>480</v>
      </c>
    </row>
    <row r="92" spans="1:36" x14ac:dyDescent="0.35">
      <c r="A92" s="2" t="str">
        <f xml:space="preserve"> _xll.EPMOlapMemberO("[LOCID].[].[Munich plant]","","Munich plant","","000")</f>
        <v>Munich plant</v>
      </c>
      <c r="B92" s="2" t="str">
        <f xml:space="preserve"> _xll.EPMOlapMemberO("[PRDID].[].[999-53559-0179]","","999-53559-0179","","000")</f>
        <v>999-53559-0179</v>
      </c>
      <c r="C92" s="2" t="str">
        <f xml:space="preserve"> _xll.EPMOlapMemberO("[BRAND].[].[ L&amp;M]",""," L&amp;M","","000")</f>
        <v xml:space="preserve"> L&amp;M</v>
      </c>
      <c r="D92" s="2" t="str">
        <f xml:space="preserve"> _xll.EPMOlapMemberO("[AM2MARKETDESCR].[].[GENERIC DF-ENG TXT]","","GENERIC DF-ENG TXT","","000")</f>
        <v>GENERIC DF-ENG TXT</v>
      </c>
      <c r="E92" s="2" t="str">
        <f xml:space="preserve"> _xll.EPMOlapMemberO("[AM2PARENTCUSTGROUP].[].[Mondelez]","","Mondelez","","000")</f>
        <v>Mondelez</v>
      </c>
      <c r="F92" s="2" t="str">
        <f xml:space="preserve"> _xll.EPMOlapMemberO("[KEY_FIGURES].[].[AM2ORDERINTAKE]","","Sales Order","","000")</f>
        <v>Sales Order</v>
      </c>
      <c r="AI92" s="2">
        <v>117</v>
      </c>
    </row>
    <row r="93" spans="1:36" x14ac:dyDescent="0.35">
      <c r="A93" s="2" t="str">
        <f xml:space="preserve"> _xll.EPMOlapMemberO("[LOCID].[].[Munich plant]","","Munich plant","","000")</f>
        <v>Munich plant</v>
      </c>
      <c r="B93" s="2" t="str">
        <f xml:space="preserve"> _xll.EPMOlapMemberO("[PRDID].[].[999-53559-0179]","","999-53559-0179","","000")</f>
        <v>999-53559-0179</v>
      </c>
      <c r="C93" s="2" t="str">
        <f xml:space="preserve"> _xll.EPMOlapMemberO("[BRAND].[].[ L&amp;M]",""," L&amp;M","","000")</f>
        <v xml:space="preserve"> L&amp;M</v>
      </c>
      <c r="D93" s="2" t="str">
        <f xml:space="preserve"> _xll.EPMOlapMemberO("[AM2MARKETDESCR].[].[GENERIC DF-ENG TXT]","","GENERIC DF-ENG TXT","","000")</f>
        <v>GENERIC DF-ENG TXT</v>
      </c>
      <c r="E93" s="2" t="str">
        <f xml:space="preserve"> _xll.EPMOlapMemberO("[AM2PARENTCUSTGROUP].[].[Mondelez]","","Mondelez","","000")</f>
        <v>Mondelez</v>
      </c>
      <c r="F93" s="2" t="str">
        <f xml:space="preserve"> _xll.EPMOlapMemberO("[KEY_FIGURES].[].[AM2ACTUALSHIPMENTS]","","Shipments","","000")</f>
        <v>Shipments</v>
      </c>
      <c r="AJ93" s="2">
        <v>117</v>
      </c>
    </row>
    <row r="94" spans="1:36" x14ac:dyDescent="0.35">
      <c r="A94" s="2" t="str">
        <f xml:space="preserve"> _xll.EPMOlapMemberO("[LOCID].[].[Munich plant]","","Munich plant","","000")</f>
        <v>Munich plant</v>
      </c>
      <c r="B94" s="2" t="str">
        <f xml:space="preserve"> _xll.EPMOlapMemberO("[PRDID].[].[999-53559-0182]","","999-53559-0182","","000")</f>
        <v>999-53559-0182</v>
      </c>
      <c r="C94" s="2" t="str">
        <f xml:space="preserve"> _xll.EPMOlapMemberO("[BRAND].[].[ L&amp;M]",""," L&amp;M","","000")</f>
        <v xml:space="preserve"> L&amp;M</v>
      </c>
      <c r="D94" s="2" t="str">
        <f xml:space="preserve"> _xll.EPMOlapMemberO("[AM2MARKETDESCR].[].[MOROCCO ]","","MOROCCO ","","000")</f>
        <v xml:space="preserve">MOROCCO </v>
      </c>
      <c r="E94" s="2" t="str">
        <f xml:space="preserve"> _xll.EPMOlapMemberO("[AM2PARENTCUSTGROUP].[].[Mondelez]","","Mondelez","","000")</f>
        <v>Mondelez</v>
      </c>
      <c r="F94" s="2" t="str">
        <f xml:space="preserve"> _xll.EPMOlapMemberO("[KEY_FIGURES].[].[AM2ORDERINTAKE]","","Sales Order","","000")</f>
        <v>Sales Order</v>
      </c>
      <c r="AE94" s="2">
        <v>1198.08</v>
      </c>
      <c r="AH94" s="2">
        <v>1105.92</v>
      </c>
    </row>
    <row r="95" spans="1:36" x14ac:dyDescent="0.35">
      <c r="A95" s="2" t="str">
        <f xml:space="preserve"> _xll.EPMOlapMemberO("[LOCID].[].[Munich plant]","","Munich plant","","000")</f>
        <v>Munich plant</v>
      </c>
      <c r="B95" s="2" t="str">
        <f xml:space="preserve"> _xll.EPMOlapMemberO("[PRDID].[].[999-53559-0182]","","999-53559-0182","","000")</f>
        <v>999-53559-0182</v>
      </c>
      <c r="C95" s="2" t="str">
        <f xml:space="preserve"> _xll.EPMOlapMemberO("[BRAND].[].[ L&amp;M]",""," L&amp;M","","000")</f>
        <v xml:space="preserve"> L&amp;M</v>
      </c>
      <c r="D95" s="2" t="str">
        <f xml:space="preserve"> _xll.EPMOlapMemberO("[AM2MARKETDESCR].[].[MOROCCO ]","","MOROCCO ","","000")</f>
        <v xml:space="preserve">MOROCCO </v>
      </c>
      <c r="E95" s="2" t="str">
        <f xml:space="preserve"> _xll.EPMOlapMemberO("[AM2PARENTCUSTGROUP].[].[Mondelez]","","Mondelez","","000")</f>
        <v>Mondelez</v>
      </c>
      <c r="F95" s="2" t="str">
        <f xml:space="preserve"> _xll.EPMOlapMemberO("[KEY_FIGURES].[].[AM2ACTUALSHIPMENTS]","","Shipments","","000")</f>
        <v>Shipments</v>
      </c>
      <c r="AE95" s="2">
        <v>1198.08</v>
      </c>
      <c r="AH95" s="2">
        <v>1105.92</v>
      </c>
    </row>
    <row r="96" spans="1:36" x14ac:dyDescent="0.35">
      <c r="A96" s="2" t="str">
        <f xml:space="preserve"> _xll.EPMOlapMemberO("[LOCID].[].[Munich plant]","","Munich plant","","000")</f>
        <v>Munich plant</v>
      </c>
      <c r="B96" s="2" t="str">
        <f xml:space="preserve"> _xll.EPMOlapMemberO("[PRDID].[].[999-53559-0183]","","999-53559-0183","","000")</f>
        <v>999-53559-0183</v>
      </c>
      <c r="C96" s="2" t="str">
        <f xml:space="preserve"> _xll.EPMOlapMemberO("[BRAND].[].[ L&amp;M]",""," L&amp;M","","000")</f>
        <v xml:space="preserve"> L&amp;M</v>
      </c>
      <c r="D96" s="2" t="str">
        <f xml:space="preserve"> _xll.EPMOlapMemberO("[AM2MARKETDESCR].[].[ESTONIA ]","","ESTONIA ","","000")</f>
        <v xml:space="preserve">ESTONIA </v>
      </c>
      <c r="E96" s="2" t="str">
        <f xml:space="preserve"> _xll.EPMOlapMemberO("[AM2PARENTCUSTGROUP].[].[Mondelez]","","Mondelez","","000")</f>
        <v>Mondelez</v>
      </c>
      <c r="F96" s="2" t="str">
        <f xml:space="preserve"> _xll.EPMOlapMemberO("[KEY_FIGURES].[].[AM2ORDERINTAKE]","","Sales Order","","000")</f>
        <v>Sales Order</v>
      </c>
      <c r="AH96" s="2">
        <v>234</v>
      </c>
    </row>
    <row r="97" spans="1:52" x14ac:dyDescent="0.35">
      <c r="A97" s="2" t="str">
        <f xml:space="preserve"> _xll.EPMOlapMemberO("[LOCID].[].[Munich plant]","","Munich plant","","000")</f>
        <v>Munich plant</v>
      </c>
      <c r="B97" s="2" t="str">
        <f xml:space="preserve"> _xll.EPMOlapMemberO("[PRDID].[].[999-53559-0183]","","999-53559-0183","","000")</f>
        <v>999-53559-0183</v>
      </c>
      <c r="C97" s="2" t="str">
        <f xml:space="preserve"> _xll.EPMOlapMemberO("[BRAND].[].[ L&amp;M]",""," L&amp;M","","000")</f>
        <v xml:space="preserve"> L&amp;M</v>
      </c>
      <c r="D97" s="2" t="str">
        <f xml:space="preserve"> _xll.EPMOlapMemberO("[AM2MARKETDESCR].[].[ESTONIA ]","","ESTONIA ","","000")</f>
        <v xml:space="preserve">ESTONIA </v>
      </c>
      <c r="E97" s="2" t="str">
        <f xml:space="preserve"> _xll.EPMOlapMemberO("[AM2PARENTCUSTGROUP].[].[Mondelez]","","Mondelez","","000")</f>
        <v>Mondelez</v>
      </c>
      <c r="F97" s="2" t="str">
        <f xml:space="preserve"> _xll.EPMOlapMemberO("[KEY_FIGURES].[].[AM2ACTUALSHIPMENTS]","","Shipments","","000")</f>
        <v>Shipments</v>
      </c>
      <c r="AH97" s="2">
        <v>234</v>
      </c>
    </row>
    <row r="98" spans="1:52" x14ac:dyDescent="0.35">
      <c r="A98" s="2" t="str">
        <f xml:space="preserve"> _xll.EPMOlapMemberO("[LOCID].[].[Munich plant]","","Munich plant","","000")</f>
        <v>Munich plant</v>
      </c>
      <c r="B98" s="2" t="str">
        <f xml:space="preserve"> _xll.EPMOlapMemberO("[PRDID].[].[999-53559-0184]","","999-53559-0184","","000")</f>
        <v>999-53559-0184</v>
      </c>
      <c r="C98" s="2" t="str">
        <f xml:space="preserve"> _xll.EPMOlapMemberO("[BRAND].[].[ L&amp;M]",""," L&amp;M","","000")</f>
        <v xml:space="preserve"> L&amp;M</v>
      </c>
      <c r="D98" s="2" t="str">
        <f xml:space="preserve"> _xll.EPMOlapMemberO("[AM2MARKETDESCR].[].[ESTONIA ]","","ESTONIA ","","000")</f>
        <v xml:space="preserve">ESTONIA </v>
      </c>
      <c r="E98" s="2" t="str">
        <f xml:space="preserve"> _xll.EPMOlapMemberO("[AM2PARENTCUSTGROUP].[].[Mondelez]","","Mondelez","","000")</f>
        <v>Mondelez</v>
      </c>
      <c r="F98" s="2" t="str">
        <f xml:space="preserve"> _xll.EPMOlapMemberO("[KEY_FIGURES].[].[AM2ORDERINTAKE]","","Sales Order","","000")</f>
        <v>Sales Order</v>
      </c>
      <c r="AH98" s="2">
        <v>234</v>
      </c>
    </row>
    <row r="99" spans="1:52" x14ac:dyDescent="0.35">
      <c r="A99" s="2" t="str">
        <f xml:space="preserve"> _xll.EPMOlapMemberO("[LOCID].[].[Munich plant]","","Munich plant","","000")</f>
        <v>Munich plant</v>
      </c>
      <c r="B99" s="2" t="str">
        <f xml:space="preserve"> _xll.EPMOlapMemberO("[PRDID].[].[999-53559-0184]","","999-53559-0184","","000")</f>
        <v>999-53559-0184</v>
      </c>
      <c r="C99" s="2" t="str">
        <f xml:space="preserve"> _xll.EPMOlapMemberO("[BRAND].[].[ L&amp;M]",""," L&amp;M","","000")</f>
        <v xml:space="preserve"> L&amp;M</v>
      </c>
      <c r="D99" s="2" t="str">
        <f xml:space="preserve"> _xll.EPMOlapMemberO("[AM2MARKETDESCR].[].[ESTONIA ]","","ESTONIA ","","000")</f>
        <v xml:space="preserve">ESTONIA </v>
      </c>
      <c r="E99" s="2" t="str">
        <f xml:space="preserve"> _xll.EPMOlapMemberO("[AM2PARENTCUSTGROUP].[].[Mondelez]","","Mondelez","","000")</f>
        <v>Mondelez</v>
      </c>
      <c r="F99" s="2" t="str">
        <f xml:space="preserve"> _xll.EPMOlapMemberO("[KEY_FIGURES].[].[AM2ACTUALSHIPMENTS]","","Shipments","","000")</f>
        <v>Shipments</v>
      </c>
      <c r="AH99" s="2">
        <v>234</v>
      </c>
    </row>
    <row r="100" spans="1:52" x14ac:dyDescent="0.35">
      <c r="A100" s="2" t="str">
        <f xml:space="preserve"> _xll.EPMOlapMemberO("[LOCID].[].[Munich plant]","","Munich plant","","000")</f>
        <v>Munich plant</v>
      </c>
      <c r="B100" s="2" t="str">
        <f xml:space="preserve"> _xll.EPMOlapMemberO("[PRDID].[].[999-53559-0185]","","999-53559-0185","","000")</f>
        <v>999-53559-0185</v>
      </c>
      <c r="C100" s="2" t="str">
        <f xml:space="preserve"> _xll.EPMOlapMemberO("[BRAND].[].[ L&amp;M]",""," L&amp;M","","000")</f>
        <v xml:space="preserve"> L&amp;M</v>
      </c>
      <c r="D100" s="2" t="str">
        <f xml:space="preserve"> _xll.EPMOlapMemberO("[AM2MARKETDESCR].[].[LITHUANIA ]","","LITHUANIA ","","000")</f>
        <v xml:space="preserve">LITHUANIA </v>
      </c>
      <c r="E100" s="2" t="str">
        <f xml:space="preserve"> _xll.EPMOlapMemberO("[AM2PARENTCUSTGROUP].[].[Mondelez]","","Mondelez","","000")</f>
        <v>Mondelez</v>
      </c>
      <c r="F100" s="2" t="str">
        <f xml:space="preserve"> _xll.EPMOlapMemberO("[KEY_FIGURES].[].[AM2ORDERINTAKE]","","Sales Order","","000")</f>
        <v>Sales Order</v>
      </c>
      <c r="AH100" s="2">
        <v>185.25</v>
      </c>
    </row>
    <row r="101" spans="1:52" x14ac:dyDescent="0.35">
      <c r="A101" s="2" t="str">
        <f xml:space="preserve"> _xll.EPMOlapMemberO("[LOCID].[].[Munich plant]","","Munich plant","","000")</f>
        <v>Munich plant</v>
      </c>
      <c r="B101" s="2" t="str">
        <f xml:space="preserve"> _xll.EPMOlapMemberO("[PRDID].[].[999-53559-0185]","","999-53559-0185","","000")</f>
        <v>999-53559-0185</v>
      </c>
      <c r="C101" s="2" t="str">
        <f xml:space="preserve"> _xll.EPMOlapMemberO("[BRAND].[].[ L&amp;M]",""," L&amp;M","","000")</f>
        <v xml:space="preserve"> L&amp;M</v>
      </c>
      <c r="D101" s="2" t="str">
        <f xml:space="preserve"> _xll.EPMOlapMemberO("[AM2MARKETDESCR].[].[LITHUANIA ]","","LITHUANIA ","","000")</f>
        <v xml:space="preserve">LITHUANIA </v>
      </c>
      <c r="E101" s="2" t="str">
        <f xml:space="preserve"> _xll.EPMOlapMemberO("[AM2PARENTCUSTGROUP].[].[Mondelez]","","Mondelez","","000")</f>
        <v>Mondelez</v>
      </c>
      <c r="F101" s="2" t="str">
        <f xml:space="preserve"> _xll.EPMOlapMemberO("[KEY_FIGURES].[].[AM2ACTUALSHIPMENTS]","","Shipments","","000")</f>
        <v>Shipments</v>
      </c>
      <c r="AH101" s="2">
        <v>185.25</v>
      </c>
    </row>
    <row r="102" spans="1:52" x14ac:dyDescent="0.35">
      <c r="A102" s="2" t="str">
        <f xml:space="preserve"> _xll.EPMOlapMemberO("[LOCID].[].[Munich plant]","","Munich plant","","000")</f>
        <v>Munich plant</v>
      </c>
      <c r="B102" s="2" t="str">
        <f xml:space="preserve"> _xll.EPMOlapMemberO("[PRDID].[].[999-53559-0186]","","999-53559-0186","","000")</f>
        <v>999-53559-0186</v>
      </c>
      <c r="C102" s="2" t="str">
        <f xml:space="preserve"> _xll.EPMOlapMemberO("[BRAND].[].[ L&amp;M]",""," L&amp;M","","000")</f>
        <v xml:space="preserve"> L&amp;M</v>
      </c>
      <c r="D102" s="2" t="str">
        <f xml:space="preserve"> _xll.EPMOlapMemberO("[AM2MARKETDESCR].[].[LITHUANIA ]","","LITHUANIA ","","000")</f>
        <v xml:space="preserve">LITHUANIA </v>
      </c>
      <c r="E102" s="2" t="str">
        <f xml:space="preserve"> _xll.EPMOlapMemberO("[AM2PARENTCUSTGROUP].[].[Mondelez]","","Mondelez","","000")</f>
        <v>Mondelez</v>
      </c>
      <c r="F102" s="2" t="str">
        <f xml:space="preserve"> _xll.EPMOlapMemberO("[KEY_FIGURES].[].[AM2ORDERINTAKE]","","Sales Order","","000")</f>
        <v>Sales Order</v>
      </c>
      <c r="AH102" s="2">
        <v>234</v>
      </c>
    </row>
    <row r="103" spans="1:52" x14ac:dyDescent="0.35">
      <c r="A103" s="2" t="str">
        <f xml:space="preserve"> _xll.EPMOlapMemberO("[LOCID].[].[Munich plant]","","Munich plant","","000")</f>
        <v>Munich plant</v>
      </c>
      <c r="B103" s="2" t="str">
        <f xml:space="preserve"> _xll.EPMOlapMemberO("[PRDID].[].[999-53559-0186]","","999-53559-0186","","000")</f>
        <v>999-53559-0186</v>
      </c>
      <c r="C103" s="2" t="str">
        <f xml:space="preserve"> _xll.EPMOlapMemberO("[BRAND].[].[ L&amp;M]",""," L&amp;M","","000")</f>
        <v xml:space="preserve"> L&amp;M</v>
      </c>
      <c r="D103" s="2" t="str">
        <f xml:space="preserve"> _xll.EPMOlapMemberO("[AM2MARKETDESCR].[].[LITHUANIA ]","","LITHUANIA ","","000")</f>
        <v xml:space="preserve">LITHUANIA </v>
      </c>
      <c r="E103" s="2" t="str">
        <f xml:space="preserve"> _xll.EPMOlapMemberO("[AM2PARENTCUSTGROUP].[].[Mondelez]","","Mondelez","","000")</f>
        <v>Mondelez</v>
      </c>
      <c r="F103" s="2" t="str">
        <f xml:space="preserve"> _xll.EPMOlapMemberO("[KEY_FIGURES].[].[AM2ACTUALSHIPMENTS]","","Shipments","","000")</f>
        <v>Shipments</v>
      </c>
      <c r="AH103" s="2">
        <v>234</v>
      </c>
    </row>
    <row r="104" spans="1:52" x14ac:dyDescent="0.35">
      <c r="A104" s="2" t="str">
        <f xml:space="preserve"> _xll.EPMOlapMemberO("[LOCID].[].[Munich plant]","","Munich plant","","000")</f>
        <v>Munich plant</v>
      </c>
      <c r="B104" s="2" t="str">
        <f xml:space="preserve"> _xll.EPMOlapMemberO("[PRDID].[].[999-53559-0187]","","999-53559-0187","","000")</f>
        <v>999-53559-0187</v>
      </c>
      <c r="C104" s="2" t="str">
        <f xml:space="preserve"> _xll.EPMOlapMemberO("[BRAND].[].[ L&amp;M]",""," L&amp;M","","000")</f>
        <v xml:space="preserve"> L&amp;M</v>
      </c>
      <c r="D104" s="2" t="str">
        <f xml:space="preserve"> _xll.EPMOlapMemberO("[AM2MARKETDESCR].[].[SPAIN MAINLAND ]","","SPAIN MAINLAND ","","000")</f>
        <v xml:space="preserve">SPAIN MAINLAND </v>
      </c>
      <c r="E104" s="2" t="str">
        <f xml:space="preserve"> _xll.EPMOlapMemberO("[AM2PARENTCUSTGROUP].[].[Mondelez]","","Mondelez","","000")</f>
        <v>Mondelez</v>
      </c>
      <c r="F104" s="2" t="str">
        <f xml:space="preserve"> _xll.EPMOlapMemberO("[KEY_FIGURES].[].[AM2ORDERINTAKE]","","Sales Order","","000")</f>
        <v>Sales Order</v>
      </c>
      <c r="AJ104" s="2">
        <v>3110.4</v>
      </c>
    </row>
    <row r="105" spans="1:52" x14ac:dyDescent="0.35">
      <c r="A105" s="2" t="str">
        <f xml:space="preserve"> _xll.EPMOlapMemberO("[LOCID].[].[Munich plant]","","Munich plant","","000")</f>
        <v>Munich plant</v>
      </c>
      <c r="B105" s="2" t="str">
        <f xml:space="preserve"> _xll.EPMOlapMemberO("[PRDID].[].[999-53559-0187]","","999-53559-0187","","000")</f>
        <v>999-53559-0187</v>
      </c>
      <c r="C105" s="2" t="str">
        <f xml:space="preserve"> _xll.EPMOlapMemberO("[BRAND].[].[ L&amp;M]",""," L&amp;M","","000")</f>
        <v xml:space="preserve"> L&amp;M</v>
      </c>
      <c r="D105" s="2" t="str">
        <f xml:space="preserve"> _xll.EPMOlapMemberO("[AM2MARKETDESCR].[].[SPAIN MAINLAND ]","","SPAIN MAINLAND ","","000")</f>
        <v xml:space="preserve">SPAIN MAINLAND </v>
      </c>
      <c r="E105" s="2" t="str">
        <f xml:space="preserve"> _xll.EPMOlapMemberO("[AM2PARENTCUSTGROUP].[].[Mondelez]","","Mondelez","","000")</f>
        <v>Mondelez</v>
      </c>
      <c r="F105" s="2" t="str">
        <f xml:space="preserve"> _xll.EPMOlapMemberO("[KEY_FIGURES].[].[AM2ACTUALSHIPMENTS]","","Shipments","","000")</f>
        <v>Shipments</v>
      </c>
      <c r="AJ105" s="2">
        <v>115.2</v>
      </c>
    </row>
    <row r="106" spans="1:52" x14ac:dyDescent="0.35">
      <c r="A106" s="2" t="str">
        <f xml:space="preserve"> _xll.EPMOlapMemberO("[LOCID].[].[Munich plant]","","Munich plant","","000")</f>
        <v>Munich plant</v>
      </c>
      <c r="B106" s="2" t="str">
        <f xml:space="preserve"> _xll.EPMOlapMemberO("[PRDID].[].[999-53682-0012]","","999-53682-0012","","000")</f>
        <v>999-53682-0012</v>
      </c>
      <c r="C106" s="2" t="str">
        <f xml:space="preserve"> _xll.EPMOlapMemberO("[BRAND].[].[ SUPERKINGS]",""," SUPERKINGS","","000")</f>
        <v xml:space="preserve"> SUPERKINGS</v>
      </c>
      <c r="D106" s="2" t="str">
        <f xml:space="preserve"> _xll.EPMOlapMemberO("[AM2MARKETDESCR].[].[KUWAIT]","","KUWAIT","","000")</f>
        <v>KUWAIT</v>
      </c>
      <c r="E106" s="2" t="str">
        <f xml:space="preserve"> _xll.EPMOlapMemberO("[AM2PARENTCUSTGROUP].[].[__NULL]","","(None)","","000")</f>
        <v>(None)</v>
      </c>
      <c r="F106" s="2" t="str">
        <f xml:space="preserve"> _xll.EPMOlapMemberO("[KEY_FIGURES].[].[CONFIRMEDPRODUCTION]","","Production Order","","000")</f>
        <v>Production Order</v>
      </c>
      <c r="AS106" s="2">
        <v>125</v>
      </c>
      <c r="AU106" s="2">
        <v>125</v>
      </c>
      <c r="AW106" s="2">
        <v>47.567999999999998</v>
      </c>
      <c r="AZ106" s="2">
        <v>187.345</v>
      </c>
    </row>
    <row r="107" spans="1:52" x14ac:dyDescent="0.35">
      <c r="A107" s="2" t="str">
        <f xml:space="preserve"> _xll.EPMOlapMemberO("[LOCID].[].[Munich plant]","","Munich plant","","000")</f>
        <v>Munich plant</v>
      </c>
      <c r="B107" s="2" t="str">
        <f xml:space="preserve"> _xll.EPMOlapMemberO("[PRDID].[].[999-53712-0012]","","999-53712-0012","","000")</f>
        <v>999-53712-0012</v>
      </c>
      <c r="C107" s="2" t="str">
        <f xml:space="preserve"> _xll.EPMOlapMemberO("[BRAND].[].[ REGAL]",""," REGAL","","000")</f>
        <v xml:space="preserve"> REGAL</v>
      </c>
      <c r="D107" s="2" t="str">
        <f xml:space="preserve"> _xll.EPMOlapMemberO("[AM2MARKETDESCR].[].[HWDF]","","HWDF","","000")</f>
        <v>HWDF</v>
      </c>
      <c r="E107" s="2" t="str">
        <f xml:space="preserve"> _xll.EPMOlapMemberO("[AM2PARENTCUSTGROUP].[].[__NULL]","","(None)","","000")</f>
        <v>(None)</v>
      </c>
      <c r="F107" s="2" t="str">
        <f xml:space="preserve"> _xll.EPMOlapMemberO("[KEY_FIGURES].[].[CONFIRMEDPRODUCTION]","","Production Order","","000")</f>
        <v>Production Order</v>
      </c>
      <c r="AV107" s="2">
        <v>70</v>
      </c>
      <c r="AY107" s="2">
        <v>77.5</v>
      </c>
    </row>
    <row r="108" spans="1:52" x14ac:dyDescent="0.35">
      <c r="A108" s="2" t="str">
        <f xml:space="preserve"> _xll.EPMOlapMemberO("[LOCID].[].[Munich plant]","","Munich plant","","000")</f>
        <v>Munich plant</v>
      </c>
      <c r="B108" s="2" t="str">
        <f xml:space="preserve"> _xll.EPMOlapMemberO("[PRDID].[].[999-53712-0014]","","999-53712-0014","","000")</f>
        <v>999-53712-0014</v>
      </c>
      <c r="C108" s="2" t="str">
        <f xml:space="preserve"> _xll.EPMOlapMemberO("[BRAND].[].[ REGAL]",""," REGAL","","000")</f>
        <v xml:space="preserve"> REGAL</v>
      </c>
      <c r="D108" s="2" t="str">
        <f xml:space="preserve"> _xll.EPMOlapMemberO("[AM2MARKETDESCR].[].[UNITED ARABIC EMIRATES DUTY FR]","","UNITED ARABIC EMIRATES DUTY FR","","000")</f>
        <v>UNITED ARABIC EMIRATES DUTY FR</v>
      </c>
      <c r="E108" s="2" t="str">
        <f xml:space="preserve"> _xll.EPMOlapMemberO("[AM2PARENTCUSTGROUP].[].[__NULL]","","(None)","","000")</f>
        <v>(None)</v>
      </c>
      <c r="F108" s="2" t="str">
        <f xml:space="preserve"> _xll.EPMOlapMemberO("[KEY_FIGURES].[].[CONFIRMEDPRODUCTION]","","Production Order","","000")</f>
        <v>Production Order</v>
      </c>
      <c r="AR108" s="2">
        <v>100.8</v>
      </c>
    </row>
    <row r="109" spans="1:52" x14ac:dyDescent="0.35">
      <c r="A109" s="2" t="str">
        <f xml:space="preserve"> _xll.EPMOlapMemberO("[LOCID].[].[Munich plant]","","Munich plant","","000")</f>
        <v>Munich plant</v>
      </c>
      <c r="B109" s="2" t="str">
        <f xml:space="preserve"> _xll.EPMOlapMemberO("[PRDID].[].[999-53795-0064]","","999-53795-0064","","000")</f>
        <v>999-53795-0064</v>
      </c>
      <c r="C109" s="2" t="str">
        <f xml:space="preserve"> _xll.EPMOlapMemberO("[BRAND].[].[ BOND STREET]",""," BOND STREET","","000")</f>
        <v xml:space="preserve"> BOND STREET</v>
      </c>
      <c r="D109" s="2" t="str">
        <f xml:space="preserve"> _xll.EPMOlapMemberO("[AM2MARKETDESCR].[].[UKRAINE ]","","UKRAINE ","","000")</f>
        <v xml:space="preserve">UKRAINE </v>
      </c>
      <c r="E109" s="2" t="str">
        <f xml:space="preserve"> _xll.EPMOlapMemberO("[AM2PARENTCUSTGROUP].[].[Mondelez]","","Mondelez","","000")</f>
        <v>Mondelez</v>
      </c>
      <c r="F109" s="2" t="str">
        <f xml:space="preserve"> _xll.EPMOlapMemberO("[KEY_FIGURES].[].[AM2ORDERINTAKE]","","Sales Order","","000")</f>
        <v>Sales Order</v>
      </c>
      <c r="AH109" s="2">
        <v>2528.7510000000002</v>
      </c>
    </row>
    <row r="110" spans="1:52" x14ac:dyDescent="0.35">
      <c r="A110" s="2" t="str">
        <f xml:space="preserve"> _xll.EPMOlapMemberO("[LOCID].[].[Munich plant]","","Munich plant","","000")</f>
        <v>Munich plant</v>
      </c>
      <c r="B110" s="2" t="str">
        <f xml:space="preserve"> _xll.EPMOlapMemberO("[PRDID].[].[999-53795-0064]","","999-53795-0064","","000")</f>
        <v>999-53795-0064</v>
      </c>
      <c r="C110" s="2" t="str">
        <f xml:space="preserve"> _xll.EPMOlapMemberO("[BRAND].[].[ BOND STREET]",""," BOND STREET","","000")</f>
        <v xml:space="preserve"> BOND STREET</v>
      </c>
      <c r="D110" s="2" t="str">
        <f xml:space="preserve"> _xll.EPMOlapMemberO("[AM2MARKETDESCR].[].[UKRAINE ]","","UKRAINE ","","000")</f>
        <v xml:space="preserve">UKRAINE </v>
      </c>
      <c r="E110" s="2" t="str">
        <f xml:space="preserve"> _xll.EPMOlapMemberO("[AM2PARENTCUSTGROUP].[].[Mondelez]","","Mondelez","","000")</f>
        <v>Mondelez</v>
      </c>
      <c r="F110" s="2" t="str">
        <f xml:space="preserve"> _xll.EPMOlapMemberO("[KEY_FIGURES].[].[AM2ACTUALSHIPMENTS]","","Shipments","","000")</f>
        <v>Shipments</v>
      </c>
      <c r="AH110" s="2">
        <v>2550</v>
      </c>
    </row>
    <row r="111" spans="1:52" x14ac:dyDescent="0.35">
      <c r="A111" s="2" t="str">
        <f xml:space="preserve"> _xll.EPMOlapMemberO("[LOCID].[].[Munich plant]","","Munich plant","","000")</f>
        <v>Munich plant</v>
      </c>
      <c r="B111" s="2" t="str">
        <f xml:space="preserve"> _xll.EPMOlapMemberO("[PRDID].[].[999-53795-0065]","","999-53795-0065","","000")</f>
        <v>999-53795-0065</v>
      </c>
      <c r="C111" s="2" t="str">
        <f xml:space="preserve"> _xll.EPMOlapMemberO("[BRAND].[].[ BOND STREET]",""," BOND STREET","","000")</f>
        <v xml:space="preserve"> BOND STREET</v>
      </c>
      <c r="D111" s="2" t="str">
        <f xml:space="preserve"> _xll.EPMOlapMemberO("[AM2MARKETDESCR].[].[UKRAINE ]","","UKRAINE ","","000")</f>
        <v xml:space="preserve">UKRAINE </v>
      </c>
      <c r="E111" s="2" t="str">
        <f xml:space="preserve"> _xll.EPMOlapMemberO("[AM2PARENTCUSTGROUP].[].[Mondelez]","","Mondelez","","000")</f>
        <v>Mondelez</v>
      </c>
      <c r="F111" s="2" t="str">
        <f xml:space="preserve"> _xll.EPMOlapMemberO("[KEY_FIGURES].[].[AM2ORDERINTAKE]","","Sales Order","","000")</f>
        <v>Sales Order</v>
      </c>
      <c r="AH111" s="2">
        <v>1011.5</v>
      </c>
    </row>
    <row r="112" spans="1:52" x14ac:dyDescent="0.35">
      <c r="A112" s="2" t="str">
        <f xml:space="preserve"> _xll.EPMOlapMemberO("[LOCID].[].[Munich plant]","","Munich plant","","000")</f>
        <v>Munich plant</v>
      </c>
      <c r="B112" s="2" t="str">
        <f xml:space="preserve"> _xll.EPMOlapMemberO("[PRDID].[].[999-53795-0065]","","999-53795-0065","","000")</f>
        <v>999-53795-0065</v>
      </c>
      <c r="C112" s="2" t="str">
        <f xml:space="preserve"> _xll.EPMOlapMemberO("[BRAND].[].[ BOND STREET]",""," BOND STREET","","000")</f>
        <v xml:space="preserve"> BOND STREET</v>
      </c>
      <c r="D112" s="2" t="str">
        <f xml:space="preserve"> _xll.EPMOlapMemberO("[AM2MARKETDESCR].[].[UKRAINE ]","","UKRAINE ","","000")</f>
        <v xml:space="preserve">UKRAINE </v>
      </c>
      <c r="E112" s="2" t="str">
        <f xml:space="preserve"> _xll.EPMOlapMemberO("[AM2PARENTCUSTGROUP].[].[Mondelez]","","Mondelez","","000")</f>
        <v>Mondelez</v>
      </c>
      <c r="F112" s="2" t="str">
        <f xml:space="preserve"> _xll.EPMOlapMemberO("[KEY_FIGURES].[].[AM2ACTUALSHIPMENTS]","","Shipments","","000")</f>
        <v>Shipments</v>
      </c>
      <c r="AH112" s="2">
        <v>1020</v>
      </c>
    </row>
    <row r="113" spans="1:39" x14ac:dyDescent="0.35">
      <c r="A113" s="2" t="str">
        <f xml:space="preserve"> _xll.EPMOlapMemberO("[LOCID].[].[Munich plant]","","Munich plant","","000")</f>
        <v>Munich plant</v>
      </c>
      <c r="B113" s="2" t="str">
        <f xml:space="preserve"> _xll.EPMOlapMemberO("[PRDID].[].[999-53917-0080]","","999-53917-0080","","000")</f>
        <v>999-53917-0080</v>
      </c>
      <c r="C113" s="2" t="str">
        <f xml:space="preserve"> _xll.EPMOlapMemberO("[BRAND].[].[ MARLBORO]",""," MARLBORO","","000")</f>
        <v xml:space="preserve"> MARLBORO</v>
      </c>
      <c r="D113" s="2" t="str">
        <f xml:space="preserve"> _xll.EPMOlapMemberO("[AM2MARKETDESCR].[].[SOMALIA ]","","SOMALIA ","","000")</f>
        <v xml:space="preserve">SOMALIA </v>
      </c>
      <c r="E113" s="2" t="str">
        <f xml:space="preserve"> _xll.EPMOlapMemberO("[AM2PARENTCUSTGROUP].[].[Mondelez]","","Mondelez","","000")</f>
        <v>Mondelez</v>
      </c>
      <c r="F113" s="2" t="str">
        <f xml:space="preserve"> _xll.EPMOlapMemberO("[KEY_FIGURES].[].[AM2ORDERINTAKE]","","Sales Order","","000")</f>
        <v>Sales Order</v>
      </c>
      <c r="I113" s="2">
        <v>505</v>
      </c>
      <c r="K113" s="2">
        <v>605</v>
      </c>
      <c r="S113" s="2">
        <v>155</v>
      </c>
      <c r="T113" s="2">
        <v>1350</v>
      </c>
      <c r="AE113" s="2">
        <v>1040</v>
      </c>
      <c r="AK113" s="2">
        <v>1320</v>
      </c>
    </row>
    <row r="114" spans="1:39" x14ac:dyDescent="0.35">
      <c r="A114" s="2" t="str">
        <f xml:space="preserve"> _xll.EPMOlapMemberO("[LOCID].[].[Munich plant]","","Munich plant","","000")</f>
        <v>Munich plant</v>
      </c>
      <c r="B114" s="2" t="str">
        <f xml:space="preserve"> _xll.EPMOlapMemberO("[PRDID].[].[999-53917-0080]","","999-53917-0080","","000")</f>
        <v>999-53917-0080</v>
      </c>
      <c r="C114" s="2" t="str">
        <f xml:space="preserve"> _xll.EPMOlapMemberO("[BRAND].[].[ MARLBORO]",""," MARLBORO","","000")</f>
        <v xml:space="preserve"> MARLBORO</v>
      </c>
      <c r="D114" s="2" t="str">
        <f xml:space="preserve"> _xll.EPMOlapMemberO("[AM2MARKETDESCR].[].[SOMALIA ]","","SOMALIA ","","000")</f>
        <v xml:space="preserve">SOMALIA </v>
      </c>
      <c r="E114" s="2" t="str">
        <f xml:space="preserve"> _xll.EPMOlapMemberO("[AM2PARENTCUSTGROUP].[].[Mondelez]","","Mondelez","","000")</f>
        <v>Mondelez</v>
      </c>
      <c r="F114" s="2" t="str">
        <f xml:space="preserve"> _xll.EPMOlapMemberO("[KEY_FIGURES].[].[AM2ACTUALSHIPMENTS]","","Shipments","","000")</f>
        <v>Shipments</v>
      </c>
      <c r="I114" s="2">
        <v>510</v>
      </c>
      <c r="K114" s="2">
        <v>620</v>
      </c>
      <c r="Q114" s="2">
        <v>325.24017500000002</v>
      </c>
      <c r="S114" s="2">
        <v>232.31441000000001</v>
      </c>
      <c r="W114" s="2">
        <v>1330</v>
      </c>
      <c r="AE114" s="2">
        <v>480</v>
      </c>
      <c r="AH114" s="2">
        <v>560</v>
      </c>
      <c r="AK114" s="2">
        <v>600</v>
      </c>
      <c r="AM114" s="2">
        <v>720</v>
      </c>
    </row>
    <row r="115" spans="1:39" x14ac:dyDescent="0.35">
      <c r="A115" s="2" t="str">
        <f xml:space="preserve"> _xll.EPMOlapMemberO("[LOCID].[].[Munich plant]","","Munich plant","","000")</f>
        <v>Munich plant</v>
      </c>
      <c r="B115" s="2" t="str">
        <f xml:space="preserve"> _xll.EPMOlapMemberO("[PRDID].[].[999-54155-0093]","","999-54155-0093","","000")</f>
        <v>999-54155-0093</v>
      </c>
      <c r="C115" s="2" t="str">
        <f xml:space="preserve"> _xll.EPMOlapMemberO("[BRAND].[].[ MARLBORO]",""," MARLBORO","","000")</f>
        <v xml:space="preserve"> MARLBORO</v>
      </c>
      <c r="D115" s="2" t="str">
        <f xml:space="preserve"> _xll.EPMOlapMemberO("[AM2MARKETDESCR].[].[YEMEN ]","","YEMEN ","","000")</f>
        <v xml:space="preserve">YEMEN </v>
      </c>
      <c r="E115" s="2" t="str">
        <f xml:space="preserve"> _xll.EPMOlapMemberO("[AM2PARENTCUSTGROUP].[].[Mondelez]","","Mondelez","","000")</f>
        <v>Mondelez</v>
      </c>
      <c r="F115" s="2" t="str">
        <f xml:space="preserve"> _xll.EPMOlapMemberO("[KEY_FIGURES].[].[AM2ACTUALSHIPMENTS]","","Shipments","","000")</f>
        <v>Shipments</v>
      </c>
      <c r="G115" s="2">
        <v>2100</v>
      </c>
    </row>
    <row r="116" spans="1:39" x14ac:dyDescent="0.35">
      <c r="A116" s="2" t="str">
        <f xml:space="preserve"> _xll.EPMOlapMemberO("[LOCID].[].[Munich plant]","","Munich plant","","000")</f>
        <v>Munich plant</v>
      </c>
      <c r="B116" s="2" t="str">
        <f xml:space="preserve"> _xll.EPMOlapMemberO("[PRDID].[].[999-54155-0094]","","999-54155-0094","","000")</f>
        <v>999-54155-0094</v>
      </c>
      <c r="C116" s="2" t="str">
        <f xml:space="preserve"> _xll.EPMOlapMemberO("[BRAND].[].[ MARLBORO]",""," MARLBORO","","000")</f>
        <v xml:space="preserve"> MARLBORO</v>
      </c>
      <c r="D116" s="2" t="str">
        <f xml:space="preserve"> _xll.EPMOlapMemberO("[AM2MARKETDESCR].[].[DJIBOUTI ]","","DJIBOUTI ","","000")</f>
        <v xml:space="preserve">DJIBOUTI </v>
      </c>
      <c r="E116" s="2" t="str">
        <f xml:space="preserve"> _xll.EPMOlapMemberO("[AM2PARENTCUSTGROUP].[].[Mondelez]","","Mondelez","","000")</f>
        <v>Mondelez</v>
      </c>
      <c r="F116" s="2" t="str">
        <f xml:space="preserve"> _xll.EPMOlapMemberO("[KEY_FIGURES].[].[AM2ACTUALSHIPMENTS]","","Shipments","","000")</f>
        <v>Shipments</v>
      </c>
      <c r="G116" s="2">
        <v>100</v>
      </c>
    </row>
    <row r="117" spans="1:39" x14ac:dyDescent="0.35">
      <c r="A117" s="2" t="str">
        <f xml:space="preserve"> _xll.EPMOlapMemberO("[LOCID].[].[Munich plant]","","Munich plant","","000")</f>
        <v>Munich plant</v>
      </c>
      <c r="B117" s="2" t="str">
        <f xml:space="preserve"> _xll.EPMOlapMemberO("[PRDID].[].[999-54155-0095]","","999-54155-0095","","000")</f>
        <v>999-54155-0095</v>
      </c>
      <c r="C117" s="2" t="str">
        <f xml:space="preserve"> _xll.EPMOlapMemberO("[BRAND].[].[ MARLBORO]",""," MARLBORO","","000")</f>
        <v xml:space="preserve"> MARLBORO</v>
      </c>
      <c r="D117" s="2" t="str">
        <f xml:space="preserve"> _xll.EPMOlapMemberO("[AM2MARKETDESCR].[].[DJIBOUTI ]","","DJIBOUTI ","","000")</f>
        <v xml:space="preserve">DJIBOUTI </v>
      </c>
      <c r="E117" s="2" t="str">
        <f xml:space="preserve"> _xll.EPMOlapMemberO("[AM2PARENTCUSTGROUP].[].[Mondelez]","","Mondelez","","000")</f>
        <v>Mondelez</v>
      </c>
      <c r="F117" s="2" t="str">
        <f xml:space="preserve"> _xll.EPMOlapMemberO("[KEY_FIGURES].[].[AM2ORDERINTAKE]","","Sales Order","","000")</f>
        <v>Sales Order</v>
      </c>
      <c r="H117" s="2">
        <v>910</v>
      </c>
      <c r="P117" s="2">
        <v>240</v>
      </c>
    </row>
    <row r="118" spans="1:39" x14ac:dyDescent="0.35">
      <c r="A118" s="2" t="str">
        <f xml:space="preserve"> _xll.EPMOlapMemberO("[LOCID].[].[Munich plant]","","Munich plant","","000")</f>
        <v>Munich plant</v>
      </c>
      <c r="B118" s="2" t="str">
        <f xml:space="preserve"> _xll.EPMOlapMemberO("[PRDID].[].[999-54155-0095]","","999-54155-0095","","000")</f>
        <v>999-54155-0095</v>
      </c>
      <c r="C118" s="2" t="str">
        <f xml:space="preserve"> _xll.EPMOlapMemberO("[BRAND].[].[ MARLBORO]",""," MARLBORO","","000")</f>
        <v xml:space="preserve"> MARLBORO</v>
      </c>
      <c r="D118" s="2" t="str">
        <f xml:space="preserve"> _xll.EPMOlapMemberO("[AM2MARKETDESCR].[].[DJIBOUTI ]","","DJIBOUTI ","","000")</f>
        <v xml:space="preserve">DJIBOUTI </v>
      </c>
      <c r="E118" s="2" t="str">
        <f xml:space="preserve"> _xll.EPMOlapMemberO("[AM2PARENTCUSTGROUP].[].[Mondelez]","","Mondelez","","000")</f>
        <v>Mondelez</v>
      </c>
      <c r="F118" s="2" t="str">
        <f xml:space="preserve"> _xll.EPMOlapMemberO("[KEY_FIGURES].[].[AM2ACTUALSHIPMENTS]","","Shipments","","000")</f>
        <v>Shipments</v>
      </c>
      <c r="H118" s="2">
        <v>120</v>
      </c>
      <c r="K118" s="2">
        <v>790</v>
      </c>
      <c r="S118" s="2">
        <v>240</v>
      </c>
      <c r="AD118" s="2">
        <v>-14.493</v>
      </c>
    </row>
    <row r="119" spans="1:39" x14ac:dyDescent="0.35">
      <c r="A119" s="2" t="str">
        <f xml:space="preserve"> _xll.EPMOlapMemberO("[LOCID].[].[Munich plant]","","Munich plant","","000")</f>
        <v>Munich plant</v>
      </c>
      <c r="B119" s="2" t="str">
        <f xml:space="preserve"> _xll.EPMOlapMemberO("[PRDID].[].[999-55801-0044]","","999-55801-0044","","000")</f>
        <v>999-55801-0044</v>
      </c>
      <c r="C119" s="2" t="str">
        <f xml:space="preserve"> _xll.EPMOlapMemberO("[BRAND].[].[ MURATTI ROSSO]",""," MURATTI ROSSO","","000")</f>
        <v xml:space="preserve"> MURATTI ROSSO</v>
      </c>
      <c r="D119" s="2" t="str">
        <f xml:space="preserve"> _xll.EPMOlapMemberO("[AM2MARKETDESCR].[].[TURKEY DF]","","TURKEY DF","","000")</f>
        <v>TURKEY DF</v>
      </c>
      <c r="E119" s="2" t="str">
        <f xml:space="preserve"> _xll.EPMOlapMemberO("[AM2PARENTCUSTGROUP].[].[Mondelez]","","Mondelez","","000")</f>
        <v>Mondelez</v>
      </c>
      <c r="F119" s="2" t="str">
        <f xml:space="preserve"> _xll.EPMOlapMemberO("[KEY_FIGURES].[].[AM2ORDERINTAKE]","","Sales Order","","000")</f>
        <v>Sales Order</v>
      </c>
      <c r="AJ119" s="2">
        <v>351</v>
      </c>
    </row>
    <row r="120" spans="1:39" x14ac:dyDescent="0.35">
      <c r="A120" s="2" t="str">
        <f xml:space="preserve"> _xll.EPMOlapMemberO("[LOCID].[].[Munich plant]","","Munich plant","","000")</f>
        <v>Munich plant</v>
      </c>
      <c r="B120" s="2" t="str">
        <f xml:space="preserve"> _xll.EPMOlapMemberO("[PRDID].[].[999-55801-0044]","","999-55801-0044","","000")</f>
        <v>999-55801-0044</v>
      </c>
      <c r="C120" s="2" t="str">
        <f xml:space="preserve"> _xll.EPMOlapMemberO("[BRAND].[].[ MURATTI ROSSO]",""," MURATTI ROSSO","","000")</f>
        <v xml:space="preserve"> MURATTI ROSSO</v>
      </c>
      <c r="D120" s="2" t="str">
        <f xml:space="preserve"> _xll.EPMOlapMemberO("[AM2MARKETDESCR].[].[TURKEY DF]","","TURKEY DF","","000")</f>
        <v>TURKEY DF</v>
      </c>
      <c r="E120" s="2" t="str">
        <f xml:space="preserve"> _xll.EPMOlapMemberO("[AM2PARENTCUSTGROUP].[].[Mondelez]","","Mondelez","","000")</f>
        <v>Mondelez</v>
      </c>
      <c r="F120" s="2" t="str">
        <f xml:space="preserve"> _xll.EPMOlapMemberO("[KEY_FIGURES].[].[AM2ACTUALSHIPMENTS]","","Shipments","","000")</f>
        <v>Shipments</v>
      </c>
      <c r="AI120" s="2">
        <v>351</v>
      </c>
    </row>
    <row r="121" spans="1:39" x14ac:dyDescent="0.35">
      <c r="A121" s="2" t="str">
        <f xml:space="preserve"> _xll.EPMOlapMemberO("[LOCID].[].[Munich plant]","","Munich plant","","000")</f>
        <v>Munich plant</v>
      </c>
      <c r="B121" s="2" t="str">
        <f xml:space="preserve"> _xll.EPMOlapMemberO("[PRDID].[].[999-55801-0055]","","999-55801-0055","","000")</f>
        <v>999-55801-0055</v>
      </c>
      <c r="C121" s="2" t="str">
        <f xml:space="preserve"> _xll.EPMOlapMemberO("[BRAND].[].[ MURATTI ROSSO]",""," MURATTI ROSSO","","000")</f>
        <v xml:space="preserve"> MURATTI ROSSO</v>
      </c>
      <c r="D121" s="2" t="str">
        <f xml:space="preserve"> _xll.EPMOlapMemberO("[AM2MARKETDESCR].[].[SWITZERLAND ]","","SWITZERLAND ","","000")</f>
        <v xml:space="preserve">SWITZERLAND </v>
      </c>
      <c r="E121" s="2" t="str">
        <f xml:space="preserve"> _xll.EPMOlapMemberO("[AM2PARENTCUSTGROUP].[].[Mondelez]","","Mondelez","","000")</f>
        <v>Mondelez</v>
      </c>
      <c r="F121" s="2" t="str">
        <f xml:space="preserve"> _xll.EPMOlapMemberO("[KEY_FIGURES].[].[AM2ORDERINTAKE]","","Sales Order","","000")</f>
        <v>Sales Order</v>
      </c>
      <c r="AE121" s="2">
        <v>552.96</v>
      </c>
      <c r="AG121" s="2">
        <v>276.48</v>
      </c>
      <c r="AH121" s="2">
        <v>184.32</v>
      </c>
    </row>
    <row r="122" spans="1:39" x14ac:dyDescent="0.35">
      <c r="A122" s="2" t="str">
        <f xml:space="preserve"> _xll.EPMOlapMemberO("[LOCID].[].[Munich plant]","","Munich plant","","000")</f>
        <v>Munich plant</v>
      </c>
      <c r="B122" s="2" t="str">
        <f xml:space="preserve"> _xll.EPMOlapMemberO("[PRDID].[].[999-55801-0055]","","999-55801-0055","","000")</f>
        <v>999-55801-0055</v>
      </c>
      <c r="C122" s="2" t="str">
        <f xml:space="preserve"> _xll.EPMOlapMemberO("[BRAND].[].[ MURATTI ROSSO]",""," MURATTI ROSSO","","000")</f>
        <v xml:space="preserve"> MURATTI ROSSO</v>
      </c>
      <c r="D122" s="2" t="str">
        <f xml:space="preserve"> _xll.EPMOlapMemberO("[AM2MARKETDESCR].[].[SWITZERLAND ]","","SWITZERLAND ","","000")</f>
        <v xml:space="preserve">SWITZERLAND </v>
      </c>
      <c r="E122" s="2" t="str">
        <f xml:space="preserve"> _xll.EPMOlapMemberO("[AM2PARENTCUSTGROUP].[].[Mondelez]","","Mondelez","","000")</f>
        <v>Mondelez</v>
      </c>
      <c r="F122" s="2" t="str">
        <f xml:space="preserve"> _xll.EPMOlapMemberO("[KEY_FIGURES].[].[AM2ACTUALSHIPMENTS]","","Shipments","","000")</f>
        <v>Shipments</v>
      </c>
      <c r="AE122" s="2">
        <v>552.96</v>
      </c>
      <c r="AH122" s="2">
        <v>437.76</v>
      </c>
    </row>
    <row r="123" spans="1:39" x14ac:dyDescent="0.35">
      <c r="A123" s="2" t="str">
        <f xml:space="preserve"> _xll.EPMOlapMemberO("[LOCID].[].[Munich plant]","","Munich plant","","000")</f>
        <v>Munich plant</v>
      </c>
      <c r="B123" s="2" t="str">
        <f xml:space="preserve"> _xll.EPMOlapMemberO("[PRDID].[].[999-55801-0056]","","999-55801-0056","","000")</f>
        <v>999-55801-0056</v>
      </c>
      <c r="C123" s="2" t="str">
        <f xml:space="preserve"> _xll.EPMOlapMemberO("[BRAND].[].[ MURATTI ROSSO]",""," MURATTI ROSSO","","000")</f>
        <v xml:space="preserve"> MURATTI ROSSO</v>
      </c>
      <c r="D123" s="2" t="str">
        <f xml:space="preserve"> _xll.EPMOlapMemberO("[AM2MARKETDESCR].[].[SWITZERLAND ]","","SWITZERLAND ","","000")</f>
        <v xml:space="preserve">SWITZERLAND </v>
      </c>
      <c r="E123" s="2" t="str">
        <f xml:space="preserve"> _xll.EPMOlapMemberO("[AM2PARENTCUSTGROUP].[].[Mondelez]","","Mondelez","","000")</f>
        <v>Mondelez</v>
      </c>
      <c r="F123" s="2" t="str">
        <f xml:space="preserve"> _xll.EPMOlapMemberO("[KEY_FIGURES].[].[AM2ORDERINTAKE]","","Sales Order","","000")</f>
        <v>Sales Order</v>
      </c>
      <c r="AE123" s="2">
        <v>460.8</v>
      </c>
      <c r="AF123" s="2">
        <v>92.16</v>
      </c>
    </row>
    <row r="124" spans="1:39" x14ac:dyDescent="0.35">
      <c r="A124" s="2" t="str">
        <f xml:space="preserve"> _xll.EPMOlapMemberO("[LOCID].[].[Munich plant]","","Munich plant","","000")</f>
        <v>Munich plant</v>
      </c>
      <c r="B124" s="2" t="str">
        <f xml:space="preserve"> _xll.EPMOlapMemberO("[PRDID].[].[999-55801-0056]","","999-55801-0056","","000")</f>
        <v>999-55801-0056</v>
      </c>
      <c r="C124" s="2" t="str">
        <f xml:space="preserve"> _xll.EPMOlapMemberO("[BRAND].[].[ MURATTI ROSSO]",""," MURATTI ROSSO","","000")</f>
        <v xml:space="preserve"> MURATTI ROSSO</v>
      </c>
      <c r="D124" s="2" t="str">
        <f xml:space="preserve"> _xll.EPMOlapMemberO("[AM2MARKETDESCR].[].[SWITZERLAND ]","","SWITZERLAND ","","000")</f>
        <v xml:space="preserve">SWITZERLAND </v>
      </c>
      <c r="E124" s="2" t="str">
        <f xml:space="preserve"> _xll.EPMOlapMemberO("[AM2PARENTCUSTGROUP].[].[Mondelez]","","Mondelez","","000")</f>
        <v>Mondelez</v>
      </c>
      <c r="F124" s="2" t="str">
        <f xml:space="preserve"> _xll.EPMOlapMemberO("[KEY_FIGURES].[].[AM2ACTUALSHIPMENTS]","","Shipments","","000")</f>
        <v>Shipments</v>
      </c>
      <c r="AE124" s="2">
        <v>460.8</v>
      </c>
      <c r="AF124" s="2">
        <v>92.16</v>
      </c>
    </row>
    <row r="125" spans="1:39" x14ac:dyDescent="0.35">
      <c r="A125" s="2" t="str">
        <f xml:space="preserve"> _xll.EPMOlapMemberO("[LOCID].[].[Munich plant]","","Munich plant","","000")</f>
        <v>Munich plant</v>
      </c>
      <c r="B125" s="2" t="str">
        <f xml:space="preserve"> _xll.EPMOlapMemberO("[PRDID].[].[999-55801-0060]","","999-55801-0060","","000")</f>
        <v>999-55801-0060</v>
      </c>
      <c r="C125" s="2" t="str">
        <f xml:space="preserve"> _xll.EPMOlapMemberO("[BRAND].[].[ MURATTI ROSSO]",""," MURATTI ROSSO","","000")</f>
        <v xml:space="preserve"> MURATTI ROSSO</v>
      </c>
      <c r="D125" s="2" t="str">
        <f xml:space="preserve"> _xll.EPMOlapMemberO("[AM2MARKETDESCR].[].[ITALY ESTIC]","","ITALY ESTIC","","000")</f>
        <v>ITALY ESTIC</v>
      </c>
      <c r="E125" s="2" t="str">
        <f xml:space="preserve"> _xll.EPMOlapMemberO("[AM2PARENTCUSTGROUP].[].[Mondelez]","","Mondelez","","000")</f>
        <v>Mondelez</v>
      </c>
      <c r="F125" s="2" t="str">
        <f xml:space="preserve"> _xll.EPMOlapMemberO("[KEY_FIGURES].[].[AM2ORDERINTAKE]","","Sales Order","","000")</f>
        <v>Sales Order</v>
      </c>
      <c r="AF125" s="2">
        <v>936</v>
      </c>
    </row>
    <row r="126" spans="1:39" x14ac:dyDescent="0.35">
      <c r="A126" s="2" t="str">
        <f xml:space="preserve"> _xll.EPMOlapMemberO("[LOCID].[].[Munich plant]","","Munich plant","","000")</f>
        <v>Munich plant</v>
      </c>
      <c r="B126" s="2" t="str">
        <f xml:space="preserve"> _xll.EPMOlapMemberO("[PRDID].[].[999-55801-0060]","","999-55801-0060","","000")</f>
        <v>999-55801-0060</v>
      </c>
      <c r="C126" s="2" t="str">
        <f xml:space="preserve"> _xll.EPMOlapMemberO("[BRAND].[].[ MURATTI ROSSO]",""," MURATTI ROSSO","","000")</f>
        <v xml:space="preserve"> MURATTI ROSSO</v>
      </c>
      <c r="D126" s="2" t="str">
        <f xml:space="preserve"> _xll.EPMOlapMemberO("[AM2MARKETDESCR].[].[ITALY ESTIC]","","ITALY ESTIC","","000")</f>
        <v>ITALY ESTIC</v>
      </c>
      <c r="E126" s="2" t="str">
        <f xml:space="preserve"> _xll.EPMOlapMemberO("[AM2PARENTCUSTGROUP].[].[Mondelez]","","Mondelez","","000")</f>
        <v>Mondelez</v>
      </c>
      <c r="F126" s="2" t="str">
        <f xml:space="preserve"> _xll.EPMOlapMemberO("[KEY_FIGURES].[].[AM2ACTUALSHIPMENTS]","","Shipments","","000")</f>
        <v>Shipments</v>
      </c>
      <c r="AF126" s="2">
        <v>936</v>
      </c>
    </row>
    <row r="127" spans="1:39" x14ac:dyDescent="0.35">
      <c r="A127" s="2" t="str">
        <f xml:space="preserve"> _xll.EPMOlapMemberO("[LOCID].[].[Munich plant]","","Munich plant","","000")</f>
        <v>Munich plant</v>
      </c>
      <c r="B127" s="2" t="str">
        <f xml:space="preserve"> _xll.EPMOlapMemberO("[PRDID].[].[999-55801-0061]","","999-55801-0061","","000")</f>
        <v>999-55801-0061</v>
      </c>
      <c r="C127" s="2" t="str">
        <f xml:space="preserve"> _xll.EPMOlapMemberO("[BRAND].[].[ MURATTI ROSSO]",""," MURATTI ROSSO","","000")</f>
        <v xml:space="preserve"> MURATTI ROSSO</v>
      </c>
      <c r="D127" s="2" t="str">
        <f xml:space="preserve"> _xll.EPMOlapMemberO("[AM2MARKETDESCR].[].[ITALY ESTIC]","","ITALY ESTIC","","000")</f>
        <v>ITALY ESTIC</v>
      </c>
      <c r="E127" s="2" t="str">
        <f xml:space="preserve"> _xll.EPMOlapMemberO("[AM2PARENTCUSTGROUP].[].[Mondelez]","","Mondelez","","000")</f>
        <v>Mondelez</v>
      </c>
      <c r="F127" s="2" t="str">
        <f xml:space="preserve"> _xll.EPMOlapMemberO("[KEY_FIGURES].[].[AM2ORDERINTAKE]","","Sales Order","","000")</f>
        <v>Sales Order</v>
      </c>
      <c r="AF127" s="2">
        <v>1053</v>
      </c>
    </row>
    <row r="128" spans="1:39" x14ac:dyDescent="0.35">
      <c r="A128" s="2" t="str">
        <f xml:space="preserve"> _xll.EPMOlapMemberO("[LOCID].[].[Munich plant]","","Munich plant","","000")</f>
        <v>Munich plant</v>
      </c>
      <c r="B128" s="2" t="str">
        <f xml:space="preserve"> _xll.EPMOlapMemberO("[PRDID].[].[999-55801-0061]","","999-55801-0061","","000")</f>
        <v>999-55801-0061</v>
      </c>
      <c r="C128" s="2" t="str">
        <f xml:space="preserve"> _xll.EPMOlapMemberO("[BRAND].[].[ MURATTI ROSSO]",""," MURATTI ROSSO","","000")</f>
        <v xml:space="preserve"> MURATTI ROSSO</v>
      </c>
      <c r="D128" s="2" t="str">
        <f xml:space="preserve"> _xll.EPMOlapMemberO("[AM2MARKETDESCR].[].[ITALY ESTIC]","","ITALY ESTIC","","000")</f>
        <v>ITALY ESTIC</v>
      </c>
      <c r="E128" s="2" t="str">
        <f xml:space="preserve"> _xll.EPMOlapMemberO("[AM2PARENTCUSTGROUP].[].[Mondelez]","","Mondelez","","000")</f>
        <v>Mondelez</v>
      </c>
      <c r="F128" s="2" t="str">
        <f xml:space="preserve"> _xll.EPMOlapMemberO("[KEY_FIGURES].[].[AM2ACTUALSHIPMENTS]","","Shipments","","000")</f>
        <v>Shipments</v>
      </c>
      <c r="AF128" s="2">
        <v>546</v>
      </c>
      <c r="AG128" s="2">
        <v>507</v>
      </c>
    </row>
    <row r="129" spans="1:36" x14ac:dyDescent="0.35">
      <c r="A129" s="2" t="str">
        <f xml:space="preserve"> _xll.EPMOlapMemberO("[LOCID].[].[Munich plant]","","Munich plant","","000")</f>
        <v>Munich plant</v>
      </c>
      <c r="B129" s="2" t="str">
        <f xml:space="preserve"> _xll.EPMOlapMemberO("[PRDID].[].[999-55801-0062]","","999-55801-0062","","000")</f>
        <v>999-55801-0062</v>
      </c>
      <c r="C129" s="2" t="str">
        <f xml:space="preserve"> _xll.EPMOlapMemberO("[BRAND].[].[ MURATTI ROSSO]",""," MURATTI ROSSO","","000")</f>
        <v xml:space="preserve"> MURATTI ROSSO</v>
      </c>
      <c r="D129" s="2" t="str">
        <f xml:space="preserve"> _xll.EPMOlapMemberO("[AM2MARKETDESCR].[].[ITALY ESTIC]","","ITALY ESTIC","","000")</f>
        <v>ITALY ESTIC</v>
      </c>
      <c r="E129" s="2" t="str">
        <f xml:space="preserve"> _xll.EPMOlapMemberO("[AM2PARENTCUSTGROUP].[].[Mondelez]","","Mondelez","","000")</f>
        <v>Mondelez</v>
      </c>
      <c r="F129" s="2" t="str">
        <f xml:space="preserve"> _xll.EPMOlapMemberO("[KEY_FIGURES].[].[AM2ORDERINTAKE]","","Sales Order","","000")</f>
        <v>Sales Order</v>
      </c>
      <c r="AE129" s="2">
        <v>1638</v>
      </c>
      <c r="AF129" s="2">
        <v>1170</v>
      </c>
      <c r="AG129" s="2">
        <v>468</v>
      </c>
      <c r="AH129" s="2">
        <v>1404</v>
      </c>
    </row>
    <row r="130" spans="1:36" x14ac:dyDescent="0.35">
      <c r="A130" s="2" t="str">
        <f xml:space="preserve"> _xll.EPMOlapMemberO("[LOCID].[].[Munich plant]","","Munich plant","","000")</f>
        <v>Munich plant</v>
      </c>
      <c r="B130" s="2" t="str">
        <f xml:space="preserve"> _xll.EPMOlapMemberO("[PRDID].[].[999-55801-0062]","","999-55801-0062","","000")</f>
        <v>999-55801-0062</v>
      </c>
      <c r="C130" s="2" t="str">
        <f xml:space="preserve"> _xll.EPMOlapMemberO("[BRAND].[].[ MURATTI ROSSO]",""," MURATTI ROSSO","","000")</f>
        <v xml:space="preserve"> MURATTI ROSSO</v>
      </c>
      <c r="D130" s="2" t="str">
        <f xml:space="preserve"> _xll.EPMOlapMemberO("[AM2MARKETDESCR].[].[ITALY ESTIC]","","ITALY ESTIC","","000")</f>
        <v>ITALY ESTIC</v>
      </c>
      <c r="E130" s="2" t="str">
        <f xml:space="preserve"> _xll.EPMOlapMemberO("[AM2PARENTCUSTGROUP].[].[Mondelez]","","Mondelez","","000")</f>
        <v>Mondelez</v>
      </c>
      <c r="F130" s="2" t="str">
        <f xml:space="preserve"> _xll.EPMOlapMemberO("[KEY_FIGURES].[].[AM2ACTUALSHIPMENTS]","","Shipments","","000")</f>
        <v>Shipments</v>
      </c>
      <c r="AE130" s="2">
        <v>1638</v>
      </c>
      <c r="AF130" s="2">
        <v>1170</v>
      </c>
      <c r="AG130" s="2">
        <v>468</v>
      </c>
      <c r="AH130" s="2">
        <v>1404</v>
      </c>
    </row>
    <row r="131" spans="1:36" x14ac:dyDescent="0.35">
      <c r="A131" s="2" t="str">
        <f xml:space="preserve"> _xll.EPMOlapMemberO("[LOCID].[].[Munich plant]","","Munich plant","","000")</f>
        <v>Munich plant</v>
      </c>
      <c r="B131" s="2" t="str">
        <f xml:space="preserve"> _xll.EPMOlapMemberO("[PRDID].[].[999-55801-0064]","","999-55801-0064","","000")</f>
        <v>999-55801-0064</v>
      </c>
      <c r="C131" s="2" t="str">
        <f xml:space="preserve"> _xll.EPMOlapMemberO("[BRAND].[].[ MURATTI ROSSO]",""," MURATTI ROSSO","","000")</f>
        <v xml:space="preserve"> MURATTI ROSSO</v>
      </c>
      <c r="D131" s="2" t="str">
        <f xml:space="preserve"> _xll.EPMOlapMemberO("[AM2MARKETDESCR].[].[SWITZERLAND ]","","SWITZERLAND ","","000")</f>
        <v xml:space="preserve">SWITZERLAND </v>
      </c>
      <c r="E131" s="2" t="str">
        <f xml:space="preserve"> _xll.EPMOlapMemberO("[AM2PARENTCUSTGROUP].[].[Mondelez]","","Mondelez","","000")</f>
        <v>Mondelez</v>
      </c>
      <c r="F131" s="2" t="str">
        <f xml:space="preserve"> _xll.EPMOlapMemberO("[KEY_FIGURES].[].[AM2ORDERINTAKE]","","Sales Order","","000")</f>
        <v>Sales Order</v>
      </c>
      <c r="AH131" s="2">
        <v>1158.6600000000001</v>
      </c>
    </row>
    <row r="132" spans="1:36" x14ac:dyDescent="0.35">
      <c r="A132" s="2" t="str">
        <f xml:space="preserve"> _xll.EPMOlapMemberO("[LOCID].[].[Munich plant]","","Munich plant","","000")</f>
        <v>Munich plant</v>
      </c>
      <c r="B132" s="2" t="str">
        <f xml:space="preserve"> _xll.EPMOlapMemberO("[PRDID].[].[999-55801-0064]","","999-55801-0064","","000")</f>
        <v>999-55801-0064</v>
      </c>
      <c r="C132" s="2" t="str">
        <f xml:space="preserve"> _xll.EPMOlapMemberO("[BRAND].[].[ MURATTI ROSSO]",""," MURATTI ROSSO","","000")</f>
        <v xml:space="preserve"> MURATTI ROSSO</v>
      </c>
      <c r="D132" s="2" t="str">
        <f xml:space="preserve"> _xll.EPMOlapMemberO("[AM2MARKETDESCR].[].[SWITZERLAND ]","","SWITZERLAND ","","000")</f>
        <v xml:space="preserve">SWITZERLAND </v>
      </c>
      <c r="E132" s="2" t="str">
        <f xml:space="preserve"> _xll.EPMOlapMemberO("[AM2PARENTCUSTGROUP].[].[Mondelez]","","Mondelez","","000")</f>
        <v>Mondelez</v>
      </c>
      <c r="F132" s="2" t="str">
        <f xml:space="preserve"> _xll.EPMOlapMemberO("[KEY_FIGURES].[].[AM2ACTUALSHIPMENTS]","","Shipments","","000")</f>
        <v>Shipments</v>
      </c>
      <c r="AH132" s="2">
        <v>1159.68</v>
      </c>
    </row>
    <row r="133" spans="1:36" x14ac:dyDescent="0.35">
      <c r="A133" s="2" t="str">
        <f xml:space="preserve"> _xll.EPMOlapMemberO("[LOCID].[].[Munich plant]","","Munich plant","","000")</f>
        <v>Munich plant</v>
      </c>
      <c r="B133" s="2" t="str">
        <f xml:space="preserve"> _xll.EPMOlapMemberO("[PRDID].[].[999-55801-0065]","","999-55801-0065","","000")</f>
        <v>999-55801-0065</v>
      </c>
      <c r="C133" s="2" t="str">
        <f xml:space="preserve"> _xll.EPMOlapMemberO("[BRAND].[].[ MURATTI ROSSO]",""," MURATTI ROSSO","","000")</f>
        <v xml:space="preserve"> MURATTI ROSSO</v>
      </c>
      <c r="D133" s="2" t="str">
        <f xml:space="preserve"> _xll.EPMOlapMemberO("[AM2MARKETDESCR].[].[SWITZERLAND ]","","SWITZERLAND ","","000")</f>
        <v xml:space="preserve">SWITZERLAND </v>
      </c>
      <c r="E133" s="2" t="str">
        <f xml:space="preserve"> _xll.EPMOlapMemberO("[AM2PARENTCUSTGROUP].[].[Mondelez]","","Mondelez","","000")</f>
        <v>Mondelez</v>
      </c>
      <c r="F133" s="2" t="str">
        <f xml:space="preserve"> _xll.EPMOlapMemberO("[KEY_FIGURES].[].[AM2ORDERINTAKE]","","Sales Order","","000")</f>
        <v>Sales Order</v>
      </c>
      <c r="AH133" s="2">
        <v>3224.8910000000001</v>
      </c>
    </row>
    <row r="134" spans="1:36" x14ac:dyDescent="0.35">
      <c r="A134" s="2" t="str">
        <f xml:space="preserve"> _xll.EPMOlapMemberO("[LOCID].[].[Munich plant]","","Munich plant","","000")</f>
        <v>Munich plant</v>
      </c>
      <c r="B134" s="2" t="str">
        <f xml:space="preserve"> _xll.EPMOlapMemberO("[PRDID].[].[999-55801-0065]","","999-55801-0065","","000")</f>
        <v>999-55801-0065</v>
      </c>
      <c r="C134" s="2" t="str">
        <f xml:space="preserve"> _xll.EPMOlapMemberO("[BRAND].[].[ MURATTI ROSSO]",""," MURATTI ROSSO","","000")</f>
        <v xml:space="preserve"> MURATTI ROSSO</v>
      </c>
      <c r="D134" s="2" t="str">
        <f xml:space="preserve"> _xll.EPMOlapMemberO("[AM2MARKETDESCR].[].[SWITZERLAND ]","","SWITZERLAND ","","000")</f>
        <v xml:space="preserve">SWITZERLAND </v>
      </c>
      <c r="E134" s="2" t="str">
        <f xml:space="preserve"> _xll.EPMOlapMemberO("[AM2PARENTCUSTGROUP].[].[Mondelez]","","Mondelez","","000")</f>
        <v>Mondelez</v>
      </c>
      <c r="F134" s="2" t="str">
        <f xml:space="preserve"> _xll.EPMOlapMemberO("[KEY_FIGURES].[].[AM2ACTUALSHIPMENTS]","","Shipments","","000")</f>
        <v>Shipments</v>
      </c>
      <c r="AH134" s="2">
        <v>3225.6</v>
      </c>
    </row>
    <row r="135" spans="1:36" x14ac:dyDescent="0.35">
      <c r="A135" s="2" t="str">
        <f xml:space="preserve"> _xll.EPMOlapMemberO("[LOCID].[].[Munich plant]","","Munich plant","","000")</f>
        <v>Munich plant</v>
      </c>
      <c r="B135" s="2" t="str">
        <f xml:space="preserve"> _xll.EPMOlapMemberO("[PRDID].[].[999-55986-0122]","","999-55986-0122","","000")</f>
        <v>999-55986-0122</v>
      </c>
      <c r="C135" s="2" t="str">
        <f xml:space="preserve"> _xll.EPMOlapMemberO("[BRAND].[].[ L&amp;M]",""," L&amp;M","","000")</f>
        <v xml:space="preserve"> L&amp;M</v>
      </c>
      <c r="D135" s="2" t="str">
        <f xml:space="preserve"> _xll.EPMOlapMemberO("[AM2MARKETDESCR].[].[ENGLISH GHW TPD2 DF]","","ENGLISH GHW TPD2 DF","","000")</f>
        <v>ENGLISH GHW TPD2 DF</v>
      </c>
      <c r="E135" s="2" t="str">
        <f xml:space="preserve"> _xll.EPMOlapMemberO("[AM2PARENTCUSTGROUP].[].[Mondelez]","","Mondelez","","000")</f>
        <v>Mondelez</v>
      </c>
      <c r="F135" s="2" t="str">
        <f xml:space="preserve"> _xll.EPMOlapMemberO("[KEY_FIGURES].[].[AM2ORDERINTAKE]","","Sales Order","","000")</f>
        <v>Sales Order</v>
      </c>
      <c r="AF135" s="2">
        <v>117</v>
      </c>
    </row>
    <row r="136" spans="1:36" x14ac:dyDescent="0.35">
      <c r="A136" s="2" t="str">
        <f xml:space="preserve"> _xll.EPMOlapMemberO("[LOCID].[].[Munich plant]","","Munich plant","","000")</f>
        <v>Munich plant</v>
      </c>
      <c r="B136" s="2" t="str">
        <f xml:space="preserve"> _xll.EPMOlapMemberO("[PRDID].[].[999-55986-0122]","","999-55986-0122","","000")</f>
        <v>999-55986-0122</v>
      </c>
      <c r="C136" s="2" t="str">
        <f xml:space="preserve"> _xll.EPMOlapMemberO("[BRAND].[].[ L&amp;M]",""," L&amp;M","","000")</f>
        <v xml:space="preserve"> L&amp;M</v>
      </c>
      <c r="D136" s="2" t="str">
        <f xml:space="preserve"> _xll.EPMOlapMemberO("[AM2MARKETDESCR].[].[ENGLISH GHW TPD2 DF]","","ENGLISH GHW TPD2 DF","","000")</f>
        <v>ENGLISH GHW TPD2 DF</v>
      </c>
      <c r="E136" s="2" t="str">
        <f xml:space="preserve"> _xll.EPMOlapMemberO("[AM2PARENTCUSTGROUP].[].[Mondelez]","","Mondelez","","000")</f>
        <v>Mondelez</v>
      </c>
      <c r="F136" s="2" t="str">
        <f xml:space="preserve"> _xll.EPMOlapMemberO("[KEY_FIGURES].[].[AM2ACTUALSHIPMENTS]","","Shipments","","000")</f>
        <v>Shipments</v>
      </c>
      <c r="AF136" s="2">
        <v>117</v>
      </c>
    </row>
    <row r="137" spans="1:36" x14ac:dyDescent="0.35">
      <c r="A137" s="2" t="str">
        <f xml:space="preserve"> _xll.EPMOlapMemberO("[LOCID].[].[Munich plant]","","Munich plant","","000")</f>
        <v>Munich plant</v>
      </c>
      <c r="B137" s="2" t="str">
        <f xml:space="preserve"> _xll.EPMOlapMemberO("[PRDID].[].[999-55986-0124]","","999-55986-0124","","000")</f>
        <v>999-55986-0124</v>
      </c>
      <c r="C137" s="2" t="str">
        <f xml:space="preserve"> _xll.EPMOlapMemberO("[BRAND].[].[ L&amp;M]",""," L&amp;M","","000")</f>
        <v xml:space="preserve"> L&amp;M</v>
      </c>
      <c r="D137" s="2" t="str">
        <f xml:space="preserve"> _xll.EPMOlapMemberO("[AM2MARKETDESCR].[].[TURKEY DF]","","TURKEY DF","","000")</f>
        <v>TURKEY DF</v>
      </c>
      <c r="E137" s="2" t="str">
        <f xml:space="preserve"> _xll.EPMOlapMemberO("[AM2PARENTCUSTGROUP].[].[Mondelez]","","Mondelez","","000")</f>
        <v>Mondelez</v>
      </c>
      <c r="F137" s="2" t="str">
        <f xml:space="preserve"> _xll.EPMOlapMemberO("[KEY_FIGURES].[].[AM2ORDERINTAKE]","","Sales Order","","000")</f>
        <v>Sales Order</v>
      </c>
      <c r="AG137" s="2">
        <v>2223</v>
      </c>
    </row>
    <row r="138" spans="1:36" x14ac:dyDescent="0.35">
      <c r="A138" s="2" t="str">
        <f xml:space="preserve"> _xll.EPMOlapMemberO("[LOCID].[].[Munich plant]","","Munich plant","","000")</f>
        <v>Munich plant</v>
      </c>
      <c r="B138" s="2" t="str">
        <f xml:space="preserve"> _xll.EPMOlapMemberO("[PRDID].[].[999-55986-0124]","","999-55986-0124","","000")</f>
        <v>999-55986-0124</v>
      </c>
      <c r="C138" s="2" t="str">
        <f xml:space="preserve"> _xll.EPMOlapMemberO("[BRAND].[].[ L&amp;M]",""," L&amp;M","","000")</f>
        <v xml:space="preserve"> L&amp;M</v>
      </c>
      <c r="D138" s="2" t="str">
        <f xml:space="preserve"> _xll.EPMOlapMemberO("[AM2MARKETDESCR].[].[TURKEY DF]","","TURKEY DF","","000")</f>
        <v>TURKEY DF</v>
      </c>
      <c r="E138" s="2" t="str">
        <f xml:space="preserve"> _xll.EPMOlapMemberO("[AM2PARENTCUSTGROUP].[].[Mondelez]","","Mondelez","","000")</f>
        <v>Mondelez</v>
      </c>
      <c r="F138" s="2" t="str">
        <f xml:space="preserve"> _xll.EPMOlapMemberO("[KEY_FIGURES].[].[AM2ACTUALSHIPMENTS]","","Shipments","","000")</f>
        <v>Shipments</v>
      </c>
      <c r="AH138" s="2">
        <v>117</v>
      </c>
      <c r="AI138" s="2">
        <v>819</v>
      </c>
      <c r="AJ138" s="2">
        <v>1160.25</v>
      </c>
    </row>
    <row r="139" spans="1:36" x14ac:dyDescent="0.35">
      <c r="A139" s="2" t="str">
        <f xml:space="preserve"> _xll.EPMOlapMemberO("[LOCID].[].[Munich plant]","","Munich plant","","000")</f>
        <v>Munich plant</v>
      </c>
      <c r="B139" s="2" t="str">
        <f xml:space="preserve"> _xll.EPMOlapMemberO("[PRDID].[].[999-55986-0141]","","999-55986-0141","","000")</f>
        <v>999-55986-0141</v>
      </c>
      <c r="C139" s="2" t="str">
        <f xml:space="preserve"> _xll.EPMOlapMemberO("[BRAND].[].[ L&amp;M]",""," L&amp;M","","000")</f>
        <v xml:space="preserve"> L&amp;M</v>
      </c>
      <c r="D139" s="2" t="str">
        <f xml:space="preserve"> _xll.EPMOlapMemberO("[AM2MARKETDESCR].[].[GENERIC DF-ENG TXT]","","GENERIC DF-ENG TXT","","000")</f>
        <v>GENERIC DF-ENG TXT</v>
      </c>
      <c r="E139" s="2" t="str">
        <f xml:space="preserve"> _xll.EPMOlapMemberO("[AM2PARENTCUSTGROUP].[].[Mondelez]","","Mondelez","","000")</f>
        <v>Mondelez</v>
      </c>
      <c r="F139" s="2" t="str">
        <f xml:space="preserve"> _xll.EPMOlapMemberO("[KEY_FIGURES].[].[AM2ORDERINTAKE]","","Sales Order","","000")</f>
        <v>Sales Order</v>
      </c>
      <c r="AF139" s="2">
        <v>934</v>
      </c>
    </row>
    <row r="140" spans="1:36" x14ac:dyDescent="0.35">
      <c r="A140" s="2" t="str">
        <f xml:space="preserve"> _xll.EPMOlapMemberO("[LOCID].[].[Munich plant]","","Munich plant","","000")</f>
        <v>Munich plant</v>
      </c>
      <c r="B140" s="2" t="str">
        <f xml:space="preserve"> _xll.EPMOlapMemberO("[PRDID].[].[999-55986-0141]","","999-55986-0141","","000")</f>
        <v>999-55986-0141</v>
      </c>
      <c r="C140" s="2" t="str">
        <f xml:space="preserve"> _xll.EPMOlapMemberO("[BRAND].[].[ L&amp;M]",""," L&amp;M","","000")</f>
        <v xml:space="preserve"> L&amp;M</v>
      </c>
      <c r="D140" s="2" t="str">
        <f xml:space="preserve"> _xll.EPMOlapMemberO("[AM2MARKETDESCR].[].[GENERIC DF-ENG TXT]","","GENERIC DF-ENG TXT","","000")</f>
        <v>GENERIC DF-ENG TXT</v>
      </c>
      <c r="E140" s="2" t="str">
        <f xml:space="preserve"> _xll.EPMOlapMemberO("[AM2PARENTCUSTGROUP].[].[Mondelez]","","Mondelez","","000")</f>
        <v>Mondelez</v>
      </c>
      <c r="F140" s="2" t="str">
        <f xml:space="preserve"> _xll.EPMOlapMemberO("[KEY_FIGURES].[].[AM2ACTUALSHIPMENTS]","","Shipments","","000")</f>
        <v>Shipments</v>
      </c>
      <c r="AH140" s="2">
        <v>234</v>
      </c>
      <c r="AI140" s="2">
        <v>702</v>
      </c>
    </row>
    <row r="141" spans="1:36" x14ac:dyDescent="0.35">
      <c r="A141" s="2" t="str">
        <f xml:space="preserve"> _xll.EPMOlapMemberO("[LOCID].[].[Munich plant]","","Munich plant","","000")</f>
        <v>Munich plant</v>
      </c>
      <c r="B141" s="2" t="str">
        <f xml:space="preserve"> _xll.EPMOlapMemberO("[PRDID].[].[999-55986-0142]","","999-55986-0142","","000")</f>
        <v>999-55986-0142</v>
      </c>
      <c r="C141" s="2" t="str">
        <f xml:space="preserve"> _xll.EPMOlapMemberO("[BRAND].[].[ L&amp;M]",""," L&amp;M","","000")</f>
        <v xml:space="preserve"> L&amp;M</v>
      </c>
      <c r="D141" s="2" t="str">
        <f xml:space="preserve"> _xll.EPMOlapMemberO("[AM2MARKETDESCR].[].[SOUTH AFRICA DF]","","SOUTH AFRICA DF","","000")</f>
        <v>SOUTH AFRICA DF</v>
      </c>
      <c r="E141" s="2" t="str">
        <f xml:space="preserve"> _xll.EPMOlapMemberO("[AM2PARENTCUSTGROUP].[].[Mondelez]","","Mondelez","","000")</f>
        <v>Mondelez</v>
      </c>
      <c r="F141" s="2" t="str">
        <f xml:space="preserve"> _xll.EPMOlapMemberO("[KEY_FIGURES].[].[AM2ORDERINTAKE]","","Sales Order","","000")</f>
        <v>Sales Order</v>
      </c>
      <c r="AF141" s="2">
        <v>409.5</v>
      </c>
    </row>
    <row r="142" spans="1:36" x14ac:dyDescent="0.35">
      <c r="A142" s="2" t="str">
        <f xml:space="preserve"> _xll.EPMOlapMemberO("[LOCID].[].[Munich plant]","","Munich plant","","000")</f>
        <v>Munich plant</v>
      </c>
      <c r="B142" s="2" t="str">
        <f xml:space="preserve"> _xll.EPMOlapMemberO("[PRDID].[].[999-55986-0142]","","999-55986-0142","","000")</f>
        <v>999-55986-0142</v>
      </c>
      <c r="C142" s="2" t="str">
        <f xml:space="preserve"> _xll.EPMOlapMemberO("[BRAND].[].[ L&amp;M]",""," L&amp;M","","000")</f>
        <v xml:space="preserve"> L&amp;M</v>
      </c>
      <c r="D142" s="2" t="str">
        <f xml:space="preserve"> _xll.EPMOlapMemberO("[AM2MARKETDESCR].[].[SOUTH AFRICA DF]","","SOUTH AFRICA DF","","000")</f>
        <v>SOUTH AFRICA DF</v>
      </c>
      <c r="E142" s="2" t="str">
        <f xml:space="preserve"> _xll.EPMOlapMemberO("[AM2PARENTCUSTGROUP].[].[Mondelez]","","Mondelez","","000")</f>
        <v>Mondelez</v>
      </c>
      <c r="F142" s="2" t="str">
        <f xml:space="preserve"> _xll.EPMOlapMemberO("[KEY_FIGURES].[].[AM2ACTUALSHIPMENTS]","","Shipments","","000")</f>
        <v>Shipments</v>
      </c>
      <c r="AF142" s="2">
        <v>292.5</v>
      </c>
      <c r="AI142" s="2">
        <v>117</v>
      </c>
    </row>
    <row r="143" spans="1:36" x14ac:dyDescent="0.35">
      <c r="A143" s="2" t="str">
        <f xml:space="preserve"> _xll.EPMOlapMemberO("[LOCID].[].[Munich plant]","","Munich plant","","000")</f>
        <v>Munich plant</v>
      </c>
      <c r="B143" s="2" t="str">
        <f xml:space="preserve"> _xll.EPMOlapMemberO("[PRDID].[].[999-55986-0152]","","999-55986-0152","","000")</f>
        <v>999-55986-0152</v>
      </c>
      <c r="C143" s="2" t="str">
        <f xml:space="preserve"> _xll.EPMOlapMemberO("[BRAND].[].[ L&amp;M]",""," L&amp;M","","000")</f>
        <v xml:space="preserve"> L&amp;M</v>
      </c>
      <c r="D143" s="2" t="str">
        <f xml:space="preserve"> _xll.EPMOlapMemberO("[AM2MARKETDESCR].[].[EGYPT DUTY FREE]","","EGYPT DUTY FREE","","000")</f>
        <v>EGYPT DUTY FREE</v>
      </c>
      <c r="E143" s="2" t="str">
        <f xml:space="preserve"> _xll.EPMOlapMemberO("[AM2PARENTCUSTGROUP].[].[Mondelez]","","Mondelez","","000")</f>
        <v>Mondelez</v>
      </c>
      <c r="F143" s="2" t="str">
        <f xml:space="preserve"> _xll.EPMOlapMemberO("[KEY_FIGURES].[].[AM2ORDERINTAKE]","","Sales Order","","000")</f>
        <v>Sales Order</v>
      </c>
      <c r="AF143" s="2">
        <v>1053</v>
      </c>
    </row>
    <row r="144" spans="1:36" x14ac:dyDescent="0.35">
      <c r="A144" s="2" t="str">
        <f xml:space="preserve"> _xll.EPMOlapMemberO("[LOCID].[].[Munich plant]","","Munich plant","","000")</f>
        <v>Munich plant</v>
      </c>
      <c r="B144" s="2" t="str">
        <f xml:space="preserve"> _xll.EPMOlapMemberO("[PRDID].[].[999-55986-0152]","","999-55986-0152","","000")</f>
        <v>999-55986-0152</v>
      </c>
      <c r="C144" s="2" t="str">
        <f xml:space="preserve"> _xll.EPMOlapMemberO("[BRAND].[].[ L&amp;M]",""," L&amp;M","","000")</f>
        <v xml:space="preserve"> L&amp;M</v>
      </c>
      <c r="D144" s="2" t="str">
        <f xml:space="preserve"> _xll.EPMOlapMemberO("[AM2MARKETDESCR].[].[EGYPT DUTY FREE]","","EGYPT DUTY FREE","","000")</f>
        <v>EGYPT DUTY FREE</v>
      </c>
      <c r="E144" s="2" t="str">
        <f xml:space="preserve"> _xll.EPMOlapMemberO("[AM2PARENTCUSTGROUP].[].[Mondelez]","","Mondelez","","000")</f>
        <v>Mondelez</v>
      </c>
      <c r="F144" s="2" t="str">
        <f xml:space="preserve"> _xll.EPMOlapMemberO("[KEY_FIGURES].[].[AM2ACTUALSHIPMENTS]","","Shipments","","000")</f>
        <v>Shipments</v>
      </c>
      <c r="AI144" s="2">
        <v>1053</v>
      </c>
    </row>
    <row r="145" spans="1:54" x14ac:dyDescent="0.35">
      <c r="A145" s="2" t="str">
        <f xml:space="preserve"> _xll.EPMOlapMemberO("[LOCID].[].[Munich plant]","","Munich plant","","000")</f>
        <v>Munich plant</v>
      </c>
      <c r="B145" s="2" t="str">
        <f xml:space="preserve"> _xll.EPMOlapMemberO("[PRDID].[].[999-55986-0153]","","999-55986-0153","","000")</f>
        <v>999-55986-0153</v>
      </c>
      <c r="C145" s="2" t="str">
        <f xml:space="preserve"> _xll.EPMOlapMemberO("[BRAND].[].[ L&amp;M]",""," L&amp;M","","000")</f>
        <v xml:space="preserve"> L&amp;M</v>
      </c>
      <c r="D145" s="2" t="str">
        <f xml:space="preserve"> _xll.EPMOlapMemberO("[AM2MARKETDESCR].[].[SERBIA ]","","SERBIA ","","000")</f>
        <v xml:space="preserve">SERBIA </v>
      </c>
      <c r="E145" s="2" t="str">
        <f xml:space="preserve"> _xll.EPMOlapMemberO("[AM2PARENTCUSTGROUP].[].[Mondelez]","","Mondelez","","000")</f>
        <v>Mondelez</v>
      </c>
      <c r="F145" s="2" t="str">
        <f xml:space="preserve"> _xll.EPMOlapMemberO("[KEY_FIGURES].[].[AM2ORDERINTAKE]","","Sales Order","","000")</f>
        <v>Sales Order</v>
      </c>
      <c r="AG145" s="2">
        <v>819</v>
      </c>
    </row>
    <row r="146" spans="1:54" x14ac:dyDescent="0.35">
      <c r="A146" s="2" t="str">
        <f xml:space="preserve"> _xll.EPMOlapMemberO("[LOCID].[].[Munich plant]","","Munich plant","","000")</f>
        <v>Munich plant</v>
      </c>
      <c r="B146" s="2" t="str">
        <f xml:space="preserve"> _xll.EPMOlapMemberO("[PRDID].[].[999-55986-0153]","","999-55986-0153","","000")</f>
        <v>999-55986-0153</v>
      </c>
      <c r="C146" s="2" t="str">
        <f xml:space="preserve"> _xll.EPMOlapMemberO("[BRAND].[].[ L&amp;M]",""," L&amp;M","","000")</f>
        <v xml:space="preserve"> L&amp;M</v>
      </c>
      <c r="D146" s="2" t="str">
        <f xml:space="preserve"> _xll.EPMOlapMemberO("[AM2MARKETDESCR].[].[SERBIA ]","","SERBIA ","","000")</f>
        <v xml:space="preserve">SERBIA </v>
      </c>
      <c r="E146" s="2" t="str">
        <f xml:space="preserve"> _xll.EPMOlapMemberO("[AM2PARENTCUSTGROUP].[].[Mondelez]","","Mondelez","","000")</f>
        <v>Mondelez</v>
      </c>
      <c r="F146" s="2" t="str">
        <f xml:space="preserve"> _xll.EPMOlapMemberO("[KEY_FIGURES].[].[AM2ACTUALSHIPMENTS]","","Shipments","","000")</f>
        <v>Shipments</v>
      </c>
      <c r="AI146" s="2">
        <v>819</v>
      </c>
    </row>
    <row r="147" spans="1:54" x14ac:dyDescent="0.35">
      <c r="A147" s="2" t="str">
        <f xml:space="preserve"> _xll.EPMOlapMemberO("[LOCID].[].[Munich plant]","","Munich plant","","000")</f>
        <v>Munich plant</v>
      </c>
      <c r="B147" s="2" t="str">
        <f xml:space="preserve"> _xll.EPMOlapMemberO("[PRDID].[].[999-55986-0155]","","999-55986-0155","","000")</f>
        <v>999-55986-0155</v>
      </c>
      <c r="C147" s="2" t="str">
        <f xml:space="preserve"> _xll.EPMOlapMemberO("[BRAND].[].[ L&amp;M]",""," L&amp;M","","000")</f>
        <v xml:space="preserve"> L&amp;M</v>
      </c>
      <c r="D147" s="2" t="str">
        <f xml:space="preserve"> _xll.EPMOlapMemberO("[AM2MARKETDESCR].[].[UNITED ARABIC EMIRATES]","","UNITED ARABIC EMIRATES","","000")</f>
        <v>UNITED ARABIC EMIRATES</v>
      </c>
      <c r="E147" s="2" t="str">
        <f xml:space="preserve"> _xll.EPMOlapMemberO("[AM2PARENTCUSTGROUP].[].[Mondelez]","","Mondelez","","000")</f>
        <v>Mondelez</v>
      </c>
      <c r="F147" s="2" t="str">
        <f xml:space="preserve"> _xll.EPMOlapMemberO("[KEY_FIGURES].[].[AM2ORDERINTAKE]","","Sales Order","","000")</f>
        <v>Sales Order</v>
      </c>
      <c r="AE147" s="2">
        <v>585</v>
      </c>
    </row>
    <row r="148" spans="1:54" x14ac:dyDescent="0.35">
      <c r="A148" s="2" t="str">
        <f xml:space="preserve"> _xll.EPMOlapMemberO("[LOCID].[].[Munich plant]","","Munich plant","","000")</f>
        <v>Munich plant</v>
      </c>
      <c r="B148" s="2" t="str">
        <f xml:space="preserve"> _xll.EPMOlapMemberO("[PRDID].[].[999-55986-0155]","","999-55986-0155","","000")</f>
        <v>999-55986-0155</v>
      </c>
      <c r="C148" s="2" t="str">
        <f xml:space="preserve"> _xll.EPMOlapMemberO("[BRAND].[].[ L&amp;M]",""," L&amp;M","","000")</f>
        <v xml:space="preserve"> L&amp;M</v>
      </c>
      <c r="D148" s="2" t="str">
        <f xml:space="preserve"> _xll.EPMOlapMemberO("[AM2MARKETDESCR].[].[UNITED ARABIC EMIRATES]","","UNITED ARABIC EMIRATES","","000")</f>
        <v>UNITED ARABIC EMIRATES</v>
      </c>
      <c r="E148" s="2" t="str">
        <f xml:space="preserve"> _xll.EPMOlapMemberO("[AM2PARENTCUSTGROUP].[].[Mondelez]","","Mondelez","","000")</f>
        <v>Mondelez</v>
      </c>
      <c r="F148" s="2" t="str">
        <f xml:space="preserve"> _xll.EPMOlapMemberO("[KEY_FIGURES].[].[AM2ACTUALSHIPMENTS]","","Shipments","","000")</f>
        <v>Shipments</v>
      </c>
      <c r="AE148" s="2">
        <v>234</v>
      </c>
      <c r="AH148" s="2">
        <v>351</v>
      </c>
    </row>
    <row r="149" spans="1:54" x14ac:dyDescent="0.35">
      <c r="A149" s="2" t="str">
        <f xml:space="preserve"> _xll.EPMOlapMemberO("[LOCID].[].[Munich plant]","","Munich plant","","000")</f>
        <v>Munich plant</v>
      </c>
      <c r="B149" s="2" t="str">
        <f xml:space="preserve"> _xll.EPMOlapMemberO("[PRDID].[].[999-55986-0156]","","999-55986-0156","","000")</f>
        <v>999-55986-0156</v>
      </c>
      <c r="C149" s="2" t="str">
        <f xml:space="preserve"> _xll.EPMOlapMemberO("[BRAND].[].[ L&amp;M]",""," L&amp;M","","000")</f>
        <v xml:space="preserve"> L&amp;M</v>
      </c>
      <c r="D149" s="2" t="str">
        <f xml:space="preserve"> _xll.EPMOlapMemberO("[AM2MARKETDESCR].[].[GENERIC DF-ENG TXT]","","GENERIC DF-ENG TXT","","000")</f>
        <v>GENERIC DF-ENG TXT</v>
      </c>
      <c r="E149" s="2" t="str">
        <f xml:space="preserve"> _xll.EPMOlapMemberO("[AM2PARENTCUSTGROUP].[].[Mondelez]","","Mondelez","","000")</f>
        <v>Mondelez</v>
      </c>
      <c r="F149" s="2" t="str">
        <f xml:space="preserve"> _xll.EPMOlapMemberO("[KEY_FIGURES].[].[AM2ORDERINTAKE]","","Sales Order","","000")</f>
        <v>Sales Order</v>
      </c>
      <c r="AH149" s="2">
        <v>1638</v>
      </c>
      <c r="AI149" s="2">
        <v>1287</v>
      </c>
    </row>
    <row r="150" spans="1:54" x14ac:dyDescent="0.35">
      <c r="A150" s="2" t="str">
        <f xml:space="preserve"> _xll.EPMOlapMemberO("[LOCID].[].[Munich plant]","","Munich plant","","000")</f>
        <v>Munich plant</v>
      </c>
      <c r="B150" s="2" t="str">
        <f xml:space="preserve"> _xll.EPMOlapMemberO("[PRDID].[].[999-55986-0156]","","999-55986-0156","","000")</f>
        <v>999-55986-0156</v>
      </c>
      <c r="C150" s="2" t="str">
        <f xml:space="preserve"> _xll.EPMOlapMemberO("[BRAND].[].[ L&amp;M]",""," L&amp;M","","000")</f>
        <v xml:space="preserve"> L&amp;M</v>
      </c>
      <c r="D150" s="2" t="str">
        <f xml:space="preserve"> _xll.EPMOlapMemberO("[AM2MARKETDESCR].[].[GENERIC DF-ENG TXT]","","GENERIC DF-ENG TXT","","000")</f>
        <v>GENERIC DF-ENG TXT</v>
      </c>
      <c r="E150" s="2" t="str">
        <f xml:space="preserve"> _xll.EPMOlapMemberO("[AM2PARENTCUSTGROUP].[].[Mondelez]","","Mondelez","","000")</f>
        <v>Mondelez</v>
      </c>
      <c r="F150" s="2" t="str">
        <f xml:space="preserve"> _xll.EPMOlapMemberO("[KEY_FIGURES].[].[AM2ACTUALSHIPMENTS]","","Shipments","","000")</f>
        <v>Shipments</v>
      </c>
      <c r="AH150" s="2">
        <v>809.25</v>
      </c>
      <c r="AI150" s="2">
        <v>2076.75</v>
      </c>
    </row>
    <row r="151" spans="1:54" x14ac:dyDescent="0.35">
      <c r="A151" s="2" t="str">
        <f xml:space="preserve"> _xll.EPMOlapMemberO("[LOCID].[].[Munich plant]","","Munich plant","","000")</f>
        <v>Munich plant</v>
      </c>
      <c r="B151" s="2" t="str">
        <f xml:space="preserve"> _xll.EPMOlapMemberO("[PRDID].[].[999-55986-0157]","","999-55986-0157","","000")</f>
        <v>999-55986-0157</v>
      </c>
      <c r="C151" s="2" t="str">
        <f xml:space="preserve"> _xll.EPMOlapMemberO("[BRAND].[].[ L&amp;M]",""," L&amp;M","","000")</f>
        <v xml:space="preserve"> L&amp;M</v>
      </c>
      <c r="D151" s="2" t="str">
        <f xml:space="preserve"> _xll.EPMOlapMemberO("[AM2MARKETDESCR].[].[SPAIN MAINLAND ]","","SPAIN MAINLAND ","","000")</f>
        <v xml:space="preserve">SPAIN MAINLAND </v>
      </c>
      <c r="E151" s="2" t="str">
        <f xml:space="preserve"> _xll.EPMOlapMemberO("[AM2PARENTCUSTGROUP].[].[Mondelez]","","Mondelez","","000")</f>
        <v>Mondelez</v>
      </c>
      <c r="F151" s="2" t="str">
        <f xml:space="preserve"> _xll.EPMOlapMemberO("[KEY_FIGURES].[].[AM2ORDERINTAKE]","","Sales Order","","000")</f>
        <v>Sales Order</v>
      </c>
      <c r="AD151" s="2">
        <v>9250.56</v>
      </c>
    </row>
    <row r="152" spans="1:54" x14ac:dyDescent="0.35">
      <c r="A152" s="2" t="str">
        <f xml:space="preserve"> _xll.EPMOlapMemberO("[LOCID].[].[Munich plant]","","Munich plant","","000")</f>
        <v>Munich plant</v>
      </c>
      <c r="B152" s="2" t="str">
        <f xml:space="preserve"> _xll.EPMOlapMemberO("[PRDID].[].[999-55986-0157]","","999-55986-0157","","000")</f>
        <v>999-55986-0157</v>
      </c>
      <c r="C152" s="2" t="str">
        <f xml:space="preserve"> _xll.EPMOlapMemberO("[BRAND].[].[ L&amp;M]",""," L&amp;M","","000")</f>
        <v xml:space="preserve"> L&amp;M</v>
      </c>
      <c r="D152" s="2" t="str">
        <f xml:space="preserve"> _xll.EPMOlapMemberO("[AM2MARKETDESCR].[].[SPAIN MAINLAND ]","","SPAIN MAINLAND ","","000")</f>
        <v xml:space="preserve">SPAIN MAINLAND </v>
      </c>
      <c r="E152" s="2" t="str">
        <f xml:space="preserve"> _xll.EPMOlapMemberO("[AM2PARENTCUSTGROUP].[].[Mondelez]","","Mondelez","","000")</f>
        <v>Mondelez</v>
      </c>
      <c r="F152" s="2" t="str">
        <f xml:space="preserve"> _xll.EPMOlapMemberO("[KEY_FIGURES].[].[AM2ACTUALSHIPMENTS]","","Shipments","","000")</f>
        <v>Shipments</v>
      </c>
      <c r="AD152" s="2">
        <v>5934.72</v>
      </c>
      <c r="AF152" s="2">
        <v>3294.72</v>
      </c>
      <c r="AG152" s="2">
        <v>443.52</v>
      </c>
    </row>
    <row r="153" spans="1:54" x14ac:dyDescent="0.35">
      <c r="A153" s="2" t="str">
        <f xml:space="preserve"> _xll.EPMOlapMemberO("[LOCID].[].[Munich plant]","","Munich plant","","000")</f>
        <v>Munich plant</v>
      </c>
      <c r="B153" s="2" t="str">
        <f xml:space="preserve"> _xll.EPMOlapMemberO("[PRDID].[].[999-55986-0159]","","999-55986-0159","","000")</f>
        <v>999-55986-0159</v>
      </c>
      <c r="C153" s="2" t="str">
        <f xml:space="preserve"> _xll.EPMOlapMemberO("[BRAND].[].[ L&amp;M]",""," L&amp;M","","000")</f>
        <v xml:space="preserve"> L&amp;M</v>
      </c>
      <c r="D153" s="2" t="str">
        <f xml:space="preserve"> _xll.EPMOlapMemberO("[AM2MARKETDESCR].[].[MOROCCO ]","","MOROCCO ","","000")</f>
        <v xml:space="preserve">MOROCCO </v>
      </c>
      <c r="E153" s="2" t="str">
        <f xml:space="preserve"> _xll.EPMOlapMemberO("[AM2PARENTCUSTGROUP].[].[Mondelez]","","Mondelez","","000")</f>
        <v>Mondelez</v>
      </c>
      <c r="F153" s="2" t="str">
        <f xml:space="preserve"> _xll.EPMOlapMemberO("[KEY_FIGURES].[].[AM2ORDERINTAKE]","","Sales Order","","000")</f>
        <v>Sales Order</v>
      </c>
      <c r="AE153" s="2">
        <v>2488.3200000000002</v>
      </c>
      <c r="AG153" s="2">
        <v>1566.72</v>
      </c>
      <c r="AH153" s="2">
        <v>2304</v>
      </c>
      <c r="AK153" s="2">
        <v>1382.4</v>
      </c>
    </row>
    <row r="154" spans="1:54" x14ac:dyDescent="0.35">
      <c r="A154" s="2" t="str">
        <f xml:space="preserve"> _xll.EPMOlapMemberO("[LOCID].[].[Munich plant]","","Munich plant","","000")</f>
        <v>Munich plant</v>
      </c>
      <c r="B154" s="2" t="str">
        <f xml:space="preserve"> _xll.EPMOlapMemberO("[PRDID].[].[999-55986-0159]","","999-55986-0159","","000")</f>
        <v>999-55986-0159</v>
      </c>
      <c r="C154" s="2" t="str">
        <f xml:space="preserve"> _xll.EPMOlapMemberO("[BRAND].[].[ L&amp;M]",""," L&amp;M","","000")</f>
        <v xml:space="preserve"> L&amp;M</v>
      </c>
      <c r="D154" s="2" t="str">
        <f xml:space="preserve"> _xll.EPMOlapMemberO("[AM2MARKETDESCR].[].[MOROCCO ]","","MOROCCO ","","000")</f>
        <v xml:space="preserve">MOROCCO </v>
      </c>
      <c r="E154" s="2" t="str">
        <f xml:space="preserve"> _xll.EPMOlapMemberO("[AM2PARENTCUSTGROUP].[].[Mondelez]","","Mondelez","","000")</f>
        <v>Mondelez</v>
      </c>
      <c r="F154" s="2" t="str">
        <f xml:space="preserve"> _xll.EPMOlapMemberO("[KEY_FIGURES].[].[AM2ACTUALSHIPMENTS]","","Shipments","","000")</f>
        <v>Shipments</v>
      </c>
      <c r="AE154" s="2">
        <v>2457.6</v>
      </c>
      <c r="AG154" s="2">
        <v>1536</v>
      </c>
      <c r="AH154" s="2">
        <v>2211.84</v>
      </c>
      <c r="AJ154" s="2">
        <v>1382.4</v>
      </c>
    </row>
    <row r="155" spans="1:54" x14ac:dyDescent="0.35">
      <c r="A155" s="2" t="str">
        <f xml:space="preserve"> _xll.EPMOlapMemberO("[LOCID].[].[Munich plant]","","Munich plant","","000")</f>
        <v>Munich plant</v>
      </c>
      <c r="B155" s="2" t="str">
        <f xml:space="preserve"> _xll.EPMOlapMemberO("[PRDID].[].[999-55986-0161]","","999-55986-0161","","000")</f>
        <v>999-55986-0161</v>
      </c>
      <c r="C155" s="2" t="str">
        <f xml:space="preserve"> _xll.EPMOlapMemberO("[BRAND].[].[ L&amp;M]",""," L&amp;M","","000")</f>
        <v xml:space="preserve"> L&amp;M</v>
      </c>
      <c r="D155" s="2" t="str">
        <f xml:space="preserve"> _xll.EPMOlapMemberO("[AM2MARKETDESCR].[].[UKRAINE ]","","UKRAINE ","","000")</f>
        <v xml:space="preserve">UKRAINE </v>
      </c>
      <c r="E155" s="2" t="str">
        <f xml:space="preserve"> _xll.EPMOlapMemberO("[AM2PARENTCUSTGROUP].[].[Mondelez]","","Mondelez","","000")</f>
        <v>Mondelez</v>
      </c>
      <c r="F155" s="2" t="str">
        <f xml:space="preserve"> _xll.EPMOlapMemberO("[KEY_FIGURES].[].[AM2ORDERINTAKE]","","Sales Order","","000")</f>
        <v>Sales Order</v>
      </c>
      <c r="AG155" s="2">
        <v>1373.1120000000001</v>
      </c>
      <c r="AH155" s="2">
        <v>139.88900000000001</v>
      </c>
    </row>
    <row r="156" spans="1:54" x14ac:dyDescent="0.35">
      <c r="A156" s="2" t="str">
        <f xml:space="preserve"> _xll.EPMOlapMemberO("[LOCID].[].[Munich plant]","","Munich plant","","000")</f>
        <v>Munich plant</v>
      </c>
      <c r="B156" s="2" t="str">
        <f xml:space="preserve"> _xll.EPMOlapMemberO("[PRDID].[].[999-55986-0161]","","999-55986-0161","","000")</f>
        <v>999-55986-0161</v>
      </c>
      <c r="C156" s="2" t="str">
        <f xml:space="preserve"> _xll.EPMOlapMemberO("[BRAND].[].[ L&amp;M]",""," L&amp;M","","000")</f>
        <v xml:space="preserve"> L&amp;M</v>
      </c>
      <c r="D156" s="2" t="str">
        <f xml:space="preserve"> _xll.EPMOlapMemberO("[AM2MARKETDESCR].[].[UKRAINE ]","","UKRAINE ","","000")</f>
        <v xml:space="preserve">UKRAINE </v>
      </c>
      <c r="E156" s="2" t="str">
        <f xml:space="preserve"> _xll.EPMOlapMemberO("[AM2PARENTCUSTGROUP].[].[Mondelez]","","Mondelez","","000")</f>
        <v>Mondelez</v>
      </c>
      <c r="F156" s="2" t="str">
        <f xml:space="preserve"> _xll.EPMOlapMemberO("[KEY_FIGURES].[].[AM2ACTUALSHIPMENTS]","","Shipments","","000")</f>
        <v>Shipments</v>
      </c>
      <c r="AG156" s="2">
        <v>510</v>
      </c>
      <c r="AH156" s="2">
        <v>260</v>
      </c>
    </row>
    <row r="157" spans="1:54" x14ac:dyDescent="0.35">
      <c r="A157" s="2" t="str">
        <f xml:space="preserve"> _xll.EPMOlapMemberO("[LOCID].[].[Munich plant]","","Munich plant","","000")</f>
        <v>Munich plant</v>
      </c>
      <c r="B157" s="2" t="str">
        <f xml:space="preserve"> _xll.EPMOlapMemberO("[PRDID].[].[999-58036-0027]","","999-58036-0027","","000")</f>
        <v>999-58036-0027</v>
      </c>
      <c r="C157" s="2" t="str">
        <f xml:space="preserve"> _xll.EPMOlapMemberO("[BRAND].[].[ ROTHMANS]",""," ROTHMANS","","000")</f>
        <v xml:space="preserve"> ROTHMANS</v>
      </c>
      <c r="D157" s="2" t="str">
        <f xml:space="preserve"> _xll.EPMOlapMemberO("[AM2MARKETDESCR].[].[ALGERIA]","","ALGERIA","","000")</f>
        <v>ALGERIA</v>
      </c>
      <c r="E157" s="2" t="str">
        <f xml:space="preserve"> _xll.EPMOlapMemberO("[AM2PARENTCUSTGROUP].[].[__NULL]","","(None)","","000")</f>
        <v>(None)</v>
      </c>
      <c r="F157" s="2" t="str">
        <f xml:space="preserve"> _xll.EPMOlapMemberO("[KEY_FIGURES].[].[CONFIRMEDPRODUCTION]","","Production Order","","000")</f>
        <v>Production Order</v>
      </c>
      <c r="AR157" s="2">
        <v>7020</v>
      </c>
      <c r="AS157" s="2">
        <v>2730</v>
      </c>
      <c r="AT157" s="2">
        <v>650</v>
      </c>
      <c r="AU157" s="2">
        <v>520</v>
      </c>
      <c r="AV157" s="2">
        <v>520</v>
      </c>
      <c r="AW157" s="2">
        <v>260</v>
      </c>
      <c r="AX157" s="2">
        <v>390</v>
      </c>
      <c r="AY157" s="2">
        <v>520</v>
      </c>
      <c r="AZ157" s="2">
        <v>390</v>
      </c>
      <c r="BA157" s="2">
        <v>520</v>
      </c>
      <c r="BB157" s="2">
        <v>520</v>
      </c>
    </row>
    <row r="158" spans="1:54" x14ac:dyDescent="0.35">
      <c r="A158" s="2" t="str">
        <f xml:space="preserve"> _xll.EPMOlapMemberO("[LOCID].[].[Munich plant]","","Munich plant","","000")</f>
        <v>Munich plant</v>
      </c>
      <c r="B158" s="2" t="str">
        <f xml:space="preserve"> _xll.EPMOlapMemberO("[PRDID].[].[999-58036-0028]","","999-58036-0028","","000")</f>
        <v>999-58036-0028</v>
      </c>
      <c r="C158" s="2" t="str">
        <f xml:space="preserve"> _xll.EPMOlapMemberO("[BRAND].[].[ ROTHMANS]",""," ROTHMANS","","000")</f>
        <v xml:space="preserve"> ROTHMANS</v>
      </c>
      <c r="D158" s="2" t="str">
        <f xml:space="preserve"> _xll.EPMOlapMemberO("[AM2MARKETDESCR].[].[ALGERIA]","","ALGERIA","","000")</f>
        <v>ALGERIA</v>
      </c>
      <c r="E158" s="2" t="str">
        <f xml:space="preserve"> _xll.EPMOlapMemberO("[AM2PARENTCUSTGROUP].[].[__NULL]","","(None)","","000")</f>
        <v>(None)</v>
      </c>
      <c r="F158" s="2" t="str">
        <f xml:space="preserve"> _xll.EPMOlapMemberO("[KEY_FIGURES].[].[CONFIRMEDPRODUCTION]","","Production Order","","000")</f>
        <v>Production Order</v>
      </c>
      <c r="AS158" s="2">
        <v>130</v>
      </c>
      <c r="AT158" s="2">
        <v>130</v>
      </c>
      <c r="AU158" s="2">
        <v>130</v>
      </c>
      <c r="AW158" s="2">
        <v>2080</v>
      </c>
      <c r="AX158" s="2">
        <v>130</v>
      </c>
      <c r="AZ158" s="2">
        <v>130</v>
      </c>
      <c r="BA158" s="2">
        <v>130</v>
      </c>
      <c r="BB158" s="2">
        <v>130</v>
      </c>
    </row>
    <row r="159" spans="1:54" x14ac:dyDescent="0.35">
      <c r="A159" s="2" t="str">
        <f xml:space="preserve"> _xll.EPMOlapMemberO("[LOCID].[].[Munich plant]","","Munich plant","","000")</f>
        <v>Munich plant</v>
      </c>
      <c r="B159" s="2" t="str">
        <f xml:space="preserve"> _xll.EPMOlapMemberO("[PRDID].[].[999-58036-0029]","","999-58036-0029","","000")</f>
        <v>999-58036-0029</v>
      </c>
      <c r="C159" s="2" t="str">
        <f xml:space="preserve"> _xll.EPMOlapMemberO("[BRAND].[].[ ROTHMANS]",""," ROTHMANS","","000")</f>
        <v xml:space="preserve"> ROTHMANS</v>
      </c>
      <c r="D159" s="2" t="str">
        <f xml:space="preserve"> _xll.EPMOlapMemberO("[AM2MARKETDESCR].[].[ALGERIA]","","ALGERIA","","000")</f>
        <v>ALGERIA</v>
      </c>
      <c r="E159" s="2" t="str">
        <f xml:space="preserve"> _xll.EPMOlapMemberO("[AM2PARENTCUSTGROUP].[].[__NULL]","","(None)","","000")</f>
        <v>(None)</v>
      </c>
      <c r="F159" s="2" t="str">
        <f xml:space="preserve"> _xll.EPMOlapMemberO("[KEY_FIGURES].[].[INITIALINVENTORY]","","Stock","","000")</f>
        <v>Stock</v>
      </c>
      <c r="AQ159" s="2">
        <v>780</v>
      </c>
    </row>
    <row r="160" spans="1:54" x14ac:dyDescent="0.35">
      <c r="A160" s="2" t="str">
        <f xml:space="preserve"> _xll.EPMOlapMemberO("[LOCID].[].[Munich plant]","","Munich plant","","000")</f>
        <v>Munich plant</v>
      </c>
      <c r="B160" s="2" t="str">
        <f xml:space="preserve"> _xll.EPMOlapMemberO("[PRDID].[].[999-58036-0029]","","999-58036-0029","","000")</f>
        <v>999-58036-0029</v>
      </c>
      <c r="C160" s="2" t="str">
        <f xml:space="preserve"> _xll.EPMOlapMemberO("[BRAND].[].[ ROTHMANS]",""," ROTHMANS","","000")</f>
        <v xml:space="preserve"> ROTHMANS</v>
      </c>
      <c r="D160" s="2" t="str">
        <f xml:space="preserve"> _xll.EPMOlapMemberO("[AM2MARKETDESCR].[].[ALGERIA]","","ALGERIA","","000")</f>
        <v>ALGERIA</v>
      </c>
      <c r="E160" s="2" t="str">
        <f xml:space="preserve"> _xll.EPMOlapMemberO("[AM2PARENTCUSTGROUP].[].[__NULL]","","(None)","","000")</f>
        <v>(None)</v>
      </c>
      <c r="F160" s="2" t="str">
        <f xml:space="preserve"> _xll.EPMOlapMemberO("[KEY_FIGURES].[].[CONFIRMEDPRODUCTION]","","Production Order","","000")</f>
        <v>Production Order</v>
      </c>
      <c r="AR160" s="2">
        <v>780</v>
      </c>
      <c r="AS160" s="2">
        <v>780</v>
      </c>
      <c r="AT160" s="2">
        <v>2210</v>
      </c>
      <c r="AU160" s="2">
        <v>1430</v>
      </c>
      <c r="AV160" s="2">
        <v>1430</v>
      </c>
      <c r="AW160" s="2">
        <v>390</v>
      </c>
      <c r="AY160" s="2">
        <v>390</v>
      </c>
      <c r="AZ160" s="2">
        <v>260</v>
      </c>
      <c r="BA160" s="2">
        <v>260</v>
      </c>
      <c r="BB160" s="2">
        <v>260</v>
      </c>
    </row>
    <row r="161" spans="1:51" x14ac:dyDescent="0.35">
      <c r="A161" s="2" t="str">
        <f xml:space="preserve"> _xll.EPMOlapMemberO("[LOCID].[].[Munich plant]","","Munich plant","","000")</f>
        <v>Munich plant</v>
      </c>
      <c r="B161" s="2" t="str">
        <f xml:space="preserve"> _xll.EPMOlapMemberO("[PRDID].[].[999-58567-0055]","","999-58567-0055","","000")</f>
        <v>999-58567-0055</v>
      </c>
      <c r="C161" s="2" t="str">
        <f xml:space="preserve"> _xll.EPMOlapMemberO("[BRAND].[].[ MARLBORO]",""," MARLBORO","","000")</f>
        <v xml:space="preserve"> MARLBORO</v>
      </c>
      <c r="D161" s="2" t="str">
        <f xml:space="preserve"> _xll.EPMOlapMemberO("[AM2MARKETDESCR].[].[LUXEMBURG ]","","LUXEMBURG ","","000")</f>
        <v xml:space="preserve">LUXEMBURG </v>
      </c>
      <c r="E161" s="2" t="str">
        <f xml:space="preserve"> _xll.EPMOlapMemberO("[AM2PARENTCUSTGROUP].[].[Mondelez]","","Mondelez","","000")</f>
        <v>Mondelez</v>
      </c>
      <c r="F161" s="2" t="str">
        <f xml:space="preserve"> _xll.EPMOlapMemberO("[KEY_FIGURES].[].[AM2ORDERINTAKE]","","Sales Order","","000")</f>
        <v>Sales Order</v>
      </c>
      <c r="R161" s="2">
        <v>504</v>
      </c>
    </row>
    <row r="162" spans="1:51" x14ac:dyDescent="0.35">
      <c r="A162" s="2" t="str">
        <f xml:space="preserve"> _xll.EPMOlapMemberO("[LOCID].[].[Munich plant]","","Munich plant","","000")</f>
        <v>Munich plant</v>
      </c>
      <c r="B162" s="2" t="str">
        <f xml:space="preserve"> _xll.EPMOlapMemberO("[PRDID].[].[999-58567-0055]","","999-58567-0055","","000")</f>
        <v>999-58567-0055</v>
      </c>
      <c r="C162" s="2" t="str">
        <f xml:space="preserve"> _xll.EPMOlapMemberO("[BRAND].[].[ MARLBORO]",""," MARLBORO","","000")</f>
        <v xml:space="preserve"> MARLBORO</v>
      </c>
      <c r="D162" s="2" t="str">
        <f xml:space="preserve"> _xll.EPMOlapMemberO("[AM2MARKETDESCR].[].[LUXEMBURG ]","","LUXEMBURG ","","000")</f>
        <v xml:space="preserve">LUXEMBURG </v>
      </c>
      <c r="E162" s="2" t="str">
        <f xml:space="preserve"> _xll.EPMOlapMemberO("[AM2PARENTCUSTGROUP].[].[Mondelez]","","Mondelez","","000")</f>
        <v>Mondelez</v>
      </c>
      <c r="F162" s="2" t="str">
        <f xml:space="preserve"> _xll.EPMOlapMemberO("[KEY_FIGURES].[].[AM2ACTUALSHIPMENTS]","","Shipments","","000")</f>
        <v>Shipments</v>
      </c>
      <c r="R162" s="2">
        <v>504</v>
      </c>
      <c r="S162" s="2">
        <v>-45.5</v>
      </c>
    </row>
    <row r="163" spans="1:51" x14ac:dyDescent="0.35">
      <c r="A163" s="2" t="str">
        <f xml:space="preserve"> _xll.EPMOlapMemberO("[LOCID].[].[Munich plant]","","Munich plant","","000")</f>
        <v>Munich plant</v>
      </c>
      <c r="B163" s="2" t="str">
        <f xml:space="preserve"> _xll.EPMOlapMemberO("[PRDID].[].[999-59678-0037]","","999-59678-0037","","000")</f>
        <v>999-59678-0037</v>
      </c>
      <c r="C163" s="2" t="str">
        <f xml:space="preserve"> _xll.EPMOlapMemberO("[BRAND].[].[ NOBEL]",""," NOBEL","","000")</f>
        <v xml:space="preserve"> NOBEL</v>
      </c>
      <c r="D163" s="2" t="str">
        <f xml:space="preserve"> _xll.EPMOlapMemberO("[AM2MARKETDESCR].[].[SPAIN]","","SPAIN","","000")</f>
        <v>SPAIN</v>
      </c>
      <c r="E163" s="2" t="str">
        <f xml:space="preserve"> _xll.EPMOlapMemberO("[AM2PARENTCUSTGROUP].[].[__NULL]","","(None)","","000")</f>
        <v>(None)</v>
      </c>
      <c r="F163" s="2" t="str">
        <f xml:space="preserve"> _xll.EPMOlapMemberO("[KEY_FIGURES].[].[INITIALINVENTORY]","","Stock","","000")</f>
        <v>Stock</v>
      </c>
      <c r="AQ163" s="2">
        <v>109.2</v>
      </c>
    </row>
    <row r="164" spans="1:51" x14ac:dyDescent="0.35">
      <c r="A164" s="2" t="str">
        <f xml:space="preserve"> _xll.EPMOlapMemberO("[LOCID].[].[Munich plant]","","Munich plant","","000")</f>
        <v>Munich plant</v>
      </c>
      <c r="B164" s="2" t="str">
        <f xml:space="preserve"> _xll.EPMOlapMemberO("[PRDID].[].[999-59678-0037]","","999-59678-0037","","000")</f>
        <v>999-59678-0037</v>
      </c>
      <c r="C164" s="2" t="str">
        <f xml:space="preserve"> _xll.EPMOlapMemberO("[BRAND].[].[ NOBEL]",""," NOBEL","","000")</f>
        <v xml:space="preserve"> NOBEL</v>
      </c>
      <c r="D164" s="2" t="str">
        <f xml:space="preserve"> _xll.EPMOlapMemberO("[AM2MARKETDESCR].[].[SPAIN]","","SPAIN","","000")</f>
        <v>SPAIN</v>
      </c>
      <c r="E164" s="2" t="str">
        <f xml:space="preserve"> _xll.EPMOlapMemberO("[AM2PARENTCUSTGROUP].[].[__NULL]","","(None)","","000")</f>
        <v>(None)</v>
      </c>
      <c r="F164" s="2" t="str">
        <f xml:space="preserve"> _xll.EPMOlapMemberO("[KEY_FIGURES].[].[CONFIRMEDPRODUCTION]","","Production Order","","000")</f>
        <v>Production Order</v>
      </c>
      <c r="AS164" s="2">
        <v>37.6</v>
      </c>
    </row>
    <row r="165" spans="1:51" x14ac:dyDescent="0.35">
      <c r="A165" s="2" t="str">
        <f xml:space="preserve"> _xll.EPMOlapMemberO("[LOCID].[].[Munich plant]","","Munich plant","","000")</f>
        <v>Munich plant</v>
      </c>
      <c r="B165" s="2" t="str">
        <f xml:space="preserve"> _xll.EPMOlapMemberO("[PRDID].[].[999-59678-0038]","","999-59678-0038","","000")</f>
        <v>999-59678-0038</v>
      </c>
      <c r="C165" s="2" t="str">
        <f xml:space="preserve"> _xll.EPMOlapMemberO("[BRAND].[].[ NOBEL]",""," NOBEL","","000")</f>
        <v xml:space="preserve"> NOBEL</v>
      </c>
      <c r="D165" s="2" t="str">
        <f xml:space="preserve"> _xll.EPMOlapMemberO("[AM2MARKETDESCR].[].[SPAIN]","","SPAIN","","000")</f>
        <v>SPAIN</v>
      </c>
      <c r="E165" s="2" t="str">
        <f xml:space="preserve"> _xll.EPMOlapMemberO("[AM2PARENTCUSTGROUP].[].[__NULL]","","(None)","","000")</f>
        <v>(None)</v>
      </c>
      <c r="F165" s="2" t="str">
        <f xml:space="preserve"> _xll.EPMOlapMemberO("[KEY_FIGURES].[].[INITIALINVENTORY]","","Stock","","000")</f>
        <v>Stock</v>
      </c>
      <c r="AQ165" s="2">
        <v>1638</v>
      </c>
    </row>
    <row r="166" spans="1:51" x14ac:dyDescent="0.35">
      <c r="A166" s="2" t="str">
        <f xml:space="preserve"> _xll.EPMOlapMemberO("[LOCID].[].[Munich plant]","","Munich plant","","000")</f>
        <v>Munich plant</v>
      </c>
      <c r="B166" s="2" t="str">
        <f xml:space="preserve"> _xll.EPMOlapMemberO("[PRDID].[].[999-59678-0038]","","999-59678-0038","","000")</f>
        <v>999-59678-0038</v>
      </c>
      <c r="C166" s="2" t="str">
        <f xml:space="preserve"> _xll.EPMOlapMemberO("[BRAND].[].[ NOBEL]",""," NOBEL","","000")</f>
        <v xml:space="preserve"> NOBEL</v>
      </c>
      <c r="D166" s="2" t="str">
        <f xml:space="preserve"> _xll.EPMOlapMemberO("[AM2MARKETDESCR].[].[SPAIN]","","SPAIN","","000")</f>
        <v>SPAIN</v>
      </c>
      <c r="E166" s="2" t="str">
        <f xml:space="preserve"> _xll.EPMOlapMemberO("[AM2PARENTCUSTGROUP].[].[__NULL]","","(None)","","000")</f>
        <v>(None)</v>
      </c>
      <c r="F166" s="2" t="str">
        <f xml:space="preserve"> _xll.EPMOlapMemberO("[KEY_FIGURES].[].[CONFIRMEDPRODUCTION]","","Production Order","","000")</f>
        <v>Production Order</v>
      </c>
      <c r="AR166" s="2">
        <v>1965.6</v>
      </c>
      <c r="AS166" s="2">
        <v>3117.4659999999999</v>
      </c>
      <c r="AT166" s="2">
        <v>6000</v>
      </c>
      <c r="AU166" s="2">
        <v>6000</v>
      </c>
      <c r="AV166" s="2">
        <v>64</v>
      </c>
      <c r="AW166" s="2">
        <v>6000</v>
      </c>
      <c r="AY166" s="2">
        <v>6000</v>
      </c>
    </row>
    <row r="167" spans="1:51" x14ac:dyDescent="0.35">
      <c r="A167" s="2" t="str">
        <f xml:space="preserve"> _xll.EPMOlapMemberO("[LOCID].[].[Munich plant]","","Munich plant","","000")</f>
        <v>Munich plant</v>
      </c>
      <c r="B167" s="2" t="str">
        <f xml:space="preserve"> _xll.EPMOlapMemberO("[PRDID].[].[999-59678-0039]","","999-59678-0039","","000")</f>
        <v>999-59678-0039</v>
      </c>
      <c r="C167" s="2" t="str">
        <f xml:space="preserve"> _xll.EPMOlapMemberO("[BRAND].[].[ NOBEL]",""," NOBEL","","000")</f>
        <v xml:space="preserve"> NOBEL</v>
      </c>
      <c r="D167" s="2" t="str">
        <f xml:space="preserve"> _xll.EPMOlapMemberO("[AM2MARKETDESCR].[].[GIBRALTAR]","","GIBRALTAR","","000")</f>
        <v>GIBRALTAR</v>
      </c>
      <c r="E167" s="2" t="str">
        <f xml:space="preserve"> _xll.EPMOlapMemberO("[AM2PARENTCUSTGROUP].[].[__NULL]","","(None)","","000")</f>
        <v>(None)</v>
      </c>
      <c r="F167" s="2" t="str">
        <f xml:space="preserve"> _xll.EPMOlapMemberO("[KEY_FIGURES].[].[CONFIRMEDPRODUCTION]","","Production Order","","000")</f>
        <v>Production Order</v>
      </c>
      <c r="AR167" s="2">
        <v>109.2</v>
      </c>
      <c r="AU167" s="2">
        <v>90</v>
      </c>
      <c r="AX167" s="2">
        <v>90</v>
      </c>
    </row>
    <row r="168" spans="1:51" x14ac:dyDescent="0.35">
      <c r="A168" s="2" t="str">
        <f xml:space="preserve"> _xll.EPMOlapMemberO("[LOCID].[].[Munich plant]","","Munich plant","","000")</f>
        <v>Munich plant</v>
      </c>
      <c r="B168" s="2" t="str">
        <f xml:space="preserve"> _xll.EPMOlapMemberO("[PRDID].[].[999-59680-0011]","","999-59680-0011","","000")</f>
        <v>999-59680-0011</v>
      </c>
      <c r="C168" s="2" t="str">
        <f xml:space="preserve"> _xll.EPMOlapMemberO("[BRAND].[].[ NOBEL]",""," NOBEL","","000")</f>
        <v xml:space="preserve"> NOBEL</v>
      </c>
      <c r="D168" s="2" t="str">
        <f xml:space="preserve"> _xll.EPMOlapMemberO("[AM2MARKETDESCR].[].[SPAIN]","","SPAIN","","000")</f>
        <v>SPAIN</v>
      </c>
      <c r="E168" s="2" t="str">
        <f xml:space="preserve"> _xll.EPMOlapMemberO("[AM2PARENTCUSTGROUP].[].[__NULL]","","(None)","","000")</f>
        <v>(None)</v>
      </c>
      <c r="F168" s="2" t="str">
        <f xml:space="preserve"> _xll.EPMOlapMemberO("[KEY_FIGURES].[].[CONFIRMEDPRODUCTION]","","Production Order","","000")</f>
        <v>Production Order</v>
      </c>
      <c r="AR168" s="2">
        <v>655.20000000000005</v>
      </c>
      <c r="AT168" s="2">
        <v>416</v>
      </c>
    </row>
    <row r="169" spans="1:51" x14ac:dyDescent="0.35">
      <c r="A169" s="2" t="str">
        <f xml:space="preserve"> _xll.EPMOlapMemberO("[LOCID].[].[Munich plant]","","Munich plant","","000")</f>
        <v>Munich plant</v>
      </c>
      <c r="B169" s="2" t="str">
        <f xml:space="preserve"> _xll.EPMOlapMemberO("[PRDID].[].[999-60187-0087]","","999-60187-0087","","000")</f>
        <v>999-60187-0087</v>
      </c>
      <c r="C169" s="2" t="str">
        <f xml:space="preserve"> _xll.EPMOlapMemberO("[BRAND].[].[ L&amp;M]",""," L&amp;M","","000")</f>
        <v xml:space="preserve"> L&amp;M</v>
      </c>
      <c r="D169" s="2" t="str">
        <f xml:space="preserve"> _xll.EPMOlapMemberO("[AM2MARKETDESCR].[].[UNITED KING ]","","UNITED KING ","","000")</f>
        <v xml:space="preserve">UNITED KING </v>
      </c>
      <c r="E169" s="2" t="str">
        <f xml:space="preserve"> _xll.EPMOlapMemberO("[AM2PARENTCUSTGROUP].[].[Mondelez]","","Mondelez","","000")</f>
        <v>Mondelez</v>
      </c>
      <c r="F169" s="2" t="str">
        <f xml:space="preserve"> _xll.EPMOlapMemberO("[KEY_FIGURES].[].[AM2ORDERINTAKE]","","Sales Order","","000")</f>
        <v>Sales Order</v>
      </c>
      <c r="AE169" s="2">
        <v>3393</v>
      </c>
      <c r="AH169" s="2">
        <v>2691</v>
      </c>
      <c r="AI169" s="2">
        <v>4563</v>
      </c>
    </row>
    <row r="170" spans="1:51" x14ac:dyDescent="0.35">
      <c r="A170" s="2" t="str">
        <f xml:space="preserve"> _xll.EPMOlapMemberO("[LOCID].[].[Munich plant]","","Munich plant","","000")</f>
        <v>Munich plant</v>
      </c>
      <c r="B170" s="2" t="str">
        <f xml:space="preserve"> _xll.EPMOlapMemberO("[PRDID].[].[999-60187-0087]","","999-60187-0087","","000")</f>
        <v>999-60187-0087</v>
      </c>
      <c r="C170" s="2" t="str">
        <f xml:space="preserve"> _xll.EPMOlapMemberO("[BRAND].[].[ L&amp;M]",""," L&amp;M","","000")</f>
        <v xml:space="preserve"> L&amp;M</v>
      </c>
      <c r="D170" s="2" t="str">
        <f xml:space="preserve"> _xll.EPMOlapMemberO("[AM2MARKETDESCR].[].[UNITED KING ]","","UNITED KING ","","000")</f>
        <v xml:space="preserve">UNITED KING </v>
      </c>
      <c r="E170" s="2" t="str">
        <f xml:space="preserve"> _xll.EPMOlapMemberO("[AM2PARENTCUSTGROUP].[].[Mondelez]","","Mondelez","","000")</f>
        <v>Mondelez</v>
      </c>
      <c r="F170" s="2" t="str">
        <f xml:space="preserve"> _xll.EPMOlapMemberO("[KEY_FIGURES].[].[AM2ACTUALSHIPMENTS]","","Shipments","","000")</f>
        <v>Shipments</v>
      </c>
      <c r="AE170" s="2">
        <v>2925</v>
      </c>
      <c r="AG170" s="2">
        <v>468</v>
      </c>
      <c r="AH170" s="2">
        <v>2457</v>
      </c>
      <c r="AI170" s="2">
        <v>3042</v>
      </c>
      <c r="AL170" s="2">
        <v>1521</v>
      </c>
    </row>
    <row r="171" spans="1:51" x14ac:dyDescent="0.35">
      <c r="A171" s="2" t="str">
        <f xml:space="preserve"> _xll.EPMOlapMemberO("[LOCID].[].[Munich plant]","","Munich plant","","000")</f>
        <v>Munich plant</v>
      </c>
      <c r="B171" s="2" t="str">
        <f xml:space="preserve"> _xll.EPMOlapMemberO("[PRDID].[].[999-60187-0088]","","999-60187-0088","","000")</f>
        <v>999-60187-0088</v>
      </c>
      <c r="C171" s="2" t="str">
        <f xml:space="preserve"> _xll.EPMOlapMemberO("[BRAND].[].[ L&amp;M]",""," L&amp;M","","000")</f>
        <v xml:space="preserve"> L&amp;M</v>
      </c>
      <c r="D171" s="2" t="str">
        <f xml:space="preserve"> _xll.EPMOlapMemberO("[AM2MARKETDESCR].[].[UNITED KING ]","","UNITED KING ","","000")</f>
        <v xml:space="preserve">UNITED KING </v>
      </c>
      <c r="E171" s="2" t="str">
        <f xml:space="preserve"> _xll.EPMOlapMemberO("[AM2PARENTCUSTGROUP].[].[Mondelez]","","Mondelez","","000")</f>
        <v>Mondelez</v>
      </c>
      <c r="F171" s="2" t="str">
        <f xml:space="preserve"> _xll.EPMOlapMemberO("[KEY_FIGURES].[].[AM2ORDERINTAKE]","","Sales Order","","000")</f>
        <v>Sales Order</v>
      </c>
      <c r="AE171" s="2">
        <v>3861</v>
      </c>
      <c r="AI171" s="2">
        <v>1989</v>
      </c>
    </row>
    <row r="172" spans="1:51" x14ac:dyDescent="0.35">
      <c r="A172" s="2" t="str">
        <f xml:space="preserve"> _xll.EPMOlapMemberO("[LOCID].[].[Munich plant]","","Munich plant","","000")</f>
        <v>Munich plant</v>
      </c>
      <c r="B172" s="2" t="str">
        <f xml:space="preserve"> _xll.EPMOlapMemberO("[PRDID].[].[999-60187-0088]","","999-60187-0088","","000")</f>
        <v>999-60187-0088</v>
      </c>
      <c r="C172" s="2" t="str">
        <f xml:space="preserve"> _xll.EPMOlapMemberO("[BRAND].[].[ L&amp;M]",""," L&amp;M","","000")</f>
        <v xml:space="preserve"> L&amp;M</v>
      </c>
      <c r="D172" s="2" t="str">
        <f xml:space="preserve"> _xll.EPMOlapMemberO("[AM2MARKETDESCR].[].[UNITED KING ]","","UNITED KING ","","000")</f>
        <v xml:space="preserve">UNITED KING </v>
      </c>
      <c r="E172" s="2" t="str">
        <f xml:space="preserve"> _xll.EPMOlapMemberO("[AM2PARENTCUSTGROUP].[].[Mondelez]","","Mondelez","","000")</f>
        <v>Mondelez</v>
      </c>
      <c r="F172" s="2" t="str">
        <f xml:space="preserve"> _xll.EPMOlapMemberO("[KEY_FIGURES].[].[AM2ACTUALSHIPMENTS]","","Shipments","","000")</f>
        <v>Shipments</v>
      </c>
      <c r="AE172" s="2">
        <v>3861</v>
      </c>
      <c r="AI172" s="2">
        <v>1989</v>
      </c>
    </row>
    <row r="173" spans="1:51" x14ac:dyDescent="0.35">
      <c r="A173" s="2" t="str">
        <f xml:space="preserve"> _xll.EPMOlapMemberO("[LOCID].[].[Munich plant]","","Munich plant","","000")</f>
        <v>Munich plant</v>
      </c>
      <c r="B173" s="2" t="str">
        <f xml:space="preserve"> _xll.EPMOlapMemberO("[PRDID].[].[999-60187-0090]","","999-60187-0090","","000")</f>
        <v>999-60187-0090</v>
      </c>
      <c r="C173" s="2" t="str">
        <f xml:space="preserve"> _xll.EPMOlapMemberO("[BRAND].[].[ L&amp;M]",""," L&amp;M","","000")</f>
        <v xml:space="preserve"> L&amp;M</v>
      </c>
      <c r="D173" s="2" t="str">
        <f xml:space="preserve"> _xll.EPMOlapMemberO("[AM2MARKETDESCR].[].[GENERIC DF-ENG TXT]","","GENERIC DF-ENG TXT","","000")</f>
        <v>GENERIC DF-ENG TXT</v>
      </c>
      <c r="E173" s="2" t="str">
        <f xml:space="preserve"> _xll.EPMOlapMemberO("[AM2PARENTCUSTGROUP].[].[Mondelez]","","Mondelez","","000")</f>
        <v>Mondelez</v>
      </c>
      <c r="F173" s="2" t="str">
        <f xml:space="preserve"> _xll.EPMOlapMemberO("[KEY_FIGURES].[].[AM2ORDERINTAKE]","","Sales Order","","000")</f>
        <v>Sales Order</v>
      </c>
      <c r="AG173" s="2">
        <v>234</v>
      </c>
      <c r="AI173" s="2">
        <v>351</v>
      </c>
    </row>
    <row r="174" spans="1:51" x14ac:dyDescent="0.35">
      <c r="A174" s="2" t="str">
        <f xml:space="preserve"> _xll.EPMOlapMemberO("[LOCID].[].[Munich plant]","","Munich plant","","000")</f>
        <v>Munich plant</v>
      </c>
      <c r="B174" s="2" t="str">
        <f xml:space="preserve"> _xll.EPMOlapMemberO("[PRDID].[].[999-60187-0090]","","999-60187-0090","","000")</f>
        <v>999-60187-0090</v>
      </c>
      <c r="C174" s="2" t="str">
        <f xml:space="preserve"> _xll.EPMOlapMemberO("[BRAND].[].[ L&amp;M]",""," L&amp;M","","000")</f>
        <v xml:space="preserve"> L&amp;M</v>
      </c>
      <c r="D174" s="2" t="str">
        <f xml:space="preserve"> _xll.EPMOlapMemberO("[AM2MARKETDESCR].[].[GENERIC DF-ENG TXT]","","GENERIC DF-ENG TXT","","000")</f>
        <v>GENERIC DF-ENG TXT</v>
      </c>
      <c r="E174" s="2" t="str">
        <f xml:space="preserve"> _xll.EPMOlapMemberO("[AM2PARENTCUSTGROUP].[].[Mondelez]","","Mondelez","","000")</f>
        <v>Mondelez</v>
      </c>
      <c r="F174" s="2" t="str">
        <f xml:space="preserve"> _xll.EPMOlapMemberO("[KEY_FIGURES].[].[AM2ACTUALSHIPMENTS]","","Shipments","","000")</f>
        <v>Shipments</v>
      </c>
      <c r="AG174" s="2">
        <v>234</v>
      </c>
      <c r="AJ174" s="2">
        <v>351</v>
      </c>
    </row>
    <row r="175" spans="1:51" x14ac:dyDescent="0.35">
      <c r="A175" s="2" t="str">
        <f xml:space="preserve"> _xll.EPMOlapMemberO("[LOCID].[].[Munich plant]","","Munich plant","","000")</f>
        <v>Munich plant</v>
      </c>
      <c r="B175" s="2" t="str">
        <f xml:space="preserve"> _xll.EPMOlapMemberO("[PRDID].[].[999-60187-0102]","","999-60187-0102","","000")</f>
        <v>999-60187-0102</v>
      </c>
      <c r="C175" s="2" t="str">
        <f xml:space="preserve"> _xll.EPMOlapMemberO("[BRAND].[].[ L&amp;M]",""," L&amp;M","","000")</f>
        <v xml:space="preserve"> L&amp;M</v>
      </c>
      <c r="D175" s="2" t="str">
        <f xml:space="preserve"> _xll.EPMOlapMemberO("[AM2MARKETDESCR].[].[SLOVENIA ]","","SLOVENIA ","","000")</f>
        <v xml:space="preserve">SLOVENIA </v>
      </c>
      <c r="E175" s="2" t="str">
        <f xml:space="preserve"> _xll.EPMOlapMemberO("[AM2PARENTCUSTGROUP].[].[Mondelez]","","Mondelez","","000")</f>
        <v>Mondelez</v>
      </c>
      <c r="F175" s="2" t="str">
        <f xml:space="preserve"> _xll.EPMOlapMemberO("[KEY_FIGURES].[].[AM2ORDERINTAKE]","","Sales Order","","000")</f>
        <v>Sales Order</v>
      </c>
      <c r="AD175" s="2">
        <v>1287</v>
      </c>
      <c r="AE175" s="2">
        <v>1053</v>
      </c>
      <c r="AI175" s="2">
        <v>585</v>
      </c>
    </row>
    <row r="176" spans="1:51" x14ac:dyDescent="0.35">
      <c r="A176" s="2" t="str">
        <f xml:space="preserve"> _xll.EPMOlapMemberO("[LOCID].[].[Munich plant]","","Munich plant","","000")</f>
        <v>Munich plant</v>
      </c>
      <c r="B176" s="2" t="str">
        <f xml:space="preserve"> _xll.EPMOlapMemberO("[PRDID].[].[999-60187-0102]","","999-60187-0102","","000")</f>
        <v>999-60187-0102</v>
      </c>
      <c r="C176" s="2" t="str">
        <f xml:space="preserve"> _xll.EPMOlapMemberO("[BRAND].[].[ L&amp;M]",""," L&amp;M","","000")</f>
        <v xml:space="preserve"> L&amp;M</v>
      </c>
      <c r="D176" s="2" t="str">
        <f xml:space="preserve"> _xll.EPMOlapMemberO("[AM2MARKETDESCR].[].[SLOVENIA ]","","SLOVENIA ","","000")</f>
        <v xml:space="preserve">SLOVENIA </v>
      </c>
      <c r="E176" s="2" t="str">
        <f xml:space="preserve"> _xll.EPMOlapMemberO("[AM2PARENTCUSTGROUP].[].[Mondelez]","","Mondelez","","000")</f>
        <v>Mondelez</v>
      </c>
      <c r="F176" s="2" t="str">
        <f xml:space="preserve"> _xll.EPMOlapMemberO("[KEY_FIGURES].[].[AM2ACTUALSHIPMENTS]","","Shipments","","000")</f>
        <v>Shipments</v>
      </c>
      <c r="AD176" s="2">
        <v>1170</v>
      </c>
      <c r="AE176" s="2">
        <v>1053</v>
      </c>
      <c r="AI176" s="2">
        <v>585</v>
      </c>
    </row>
    <row r="177" spans="1:52" x14ac:dyDescent="0.35">
      <c r="A177" s="2" t="str">
        <f xml:space="preserve"> _xll.EPMOlapMemberO("[LOCID].[].[Munich plant]","","Munich plant","","000")</f>
        <v>Munich plant</v>
      </c>
      <c r="B177" s="2" t="str">
        <f xml:space="preserve"> _xll.EPMOlapMemberO("[PRDID].[].[999-60187-0106]","","999-60187-0106","","000")</f>
        <v>999-60187-0106</v>
      </c>
      <c r="C177" s="2" t="str">
        <f xml:space="preserve"> _xll.EPMOlapMemberO("[BRAND].[].[ L&amp;M]",""," L&amp;M","","000")</f>
        <v xml:space="preserve"> L&amp;M</v>
      </c>
      <c r="D177" s="2" t="str">
        <f xml:space="preserve"> _xll.EPMOlapMemberO("[AM2MARKETDESCR].[].[SLOVENIA ]","","SLOVENIA ","","000")</f>
        <v xml:space="preserve">SLOVENIA </v>
      </c>
      <c r="E177" s="2" t="str">
        <f xml:space="preserve"> _xll.EPMOlapMemberO("[AM2PARENTCUSTGROUP].[].[Mondelez]","","Mondelez","","000")</f>
        <v>Mondelez</v>
      </c>
      <c r="F177" s="2" t="str">
        <f xml:space="preserve"> _xll.EPMOlapMemberO("[KEY_FIGURES].[].[AM2ORDERINTAKE]","","Sales Order","","000")</f>
        <v>Sales Order</v>
      </c>
      <c r="AH177" s="2">
        <v>702</v>
      </c>
    </row>
    <row r="178" spans="1:52" x14ac:dyDescent="0.35">
      <c r="A178" s="2" t="str">
        <f xml:space="preserve"> _xll.EPMOlapMemberO("[LOCID].[].[Munich plant]","","Munich plant","","000")</f>
        <v>Munich plant</v>
      </c>
      <c r="B178" s="2" t="str">
        <f xml:space="preserve"> _xll.EPMOlapMemberO("[PRDID].[].[999-60187-0106]","","999-60187-0106","","000")</f>
        <v>999-60187-0106</v>
      </c>
      <c r="C178" s="2" t="str">
        <f xml:space="preserve"> _xll.EPMOlapMemberO("[BRAND].[].[ L&amp;M]",""," L&amp;M","","000")</f>
        <v xml:space="preserve"> L&amp;M</v>
      </c>
      <c r="D178" s="2" t="str">
        <f xml:space="preserve"> _xll.EPMOlapMemberO("[AM2MARKETDESCR].[].[SLOVENIA ]","","SLOVENIA ","","000")</f>
        <v xml:space="preserve">SLOVENIA </v>
      </c>
      <c r="E178" s="2" t="str">
        <f xml:space="preserve"> _xll.EPMOlapMemberO("[AM2PARENTCUSTGROUP].[].[Mondelez]","","Mondelez","","000")</f>
        <v>Mondelez</v>
      </c>
      <c r="F178" s="2" t="str">
        <f xml:space="preserve"> _xll.EPMOlapMemberO("[KEY_FIGURES].[].[AM2ACTUALSHIPMENTS]","","Shipments","","000")</f>
        <v>Shipments</v>
      </c>
      <c r="AH178" s="2">
        <v>639.5</v>
      </c>
    </row>
    <row r="179" spans="1:52" x14ac:dyDescent="0.35">
      <c r="A179" s="2" t="str">
        <f xml:space="preserve"> _xll.EPMOlapMemberO("[LOCID].[].[Munich plant]","","Munich plant","","000")</f>
        <v>Munich plant</v>
      </c>
      <c r="B179" s="2" t="str">
        <f xml:space="preserve"> _xll.EPMOlapMemberO("[PRDID].[].[999-60312-0015]","","999-60312-0015","","000")</f>
        <v>999-60312-0015</v>
      </c>
      <c r="C179" s="2" t="str">
        <f xml:space="preserve"> _xll.EPMOlapMemberO("[BRAND].[].[ P&amp;S]",""," P&amp;S","","000")</f>
        <v xml:space="preserve"> P&amp;S</v>
      </c>
      <c r="D179" s="2" t="str">
        <f xml:space="preserve"> _xll.EPMOlapMemberO("[AM2MARKETDESCR].[].[SERBIA]","","SERBIA","","000")</f>
        <v>SERBIA</v>
      </c>
      <c r="E179" s="2" t="str">
        <f xml:space="preserve"> _xll.EPMOlapMemberO("[AM2PARENTCUSTGROUP].[].[__NULL]","","(None)","","000")</f>
        <v>(None)</v>
      </c>
      <c r="F179" s="2" t="str">
        <f xml:space="preserve"> _xll.EPMOlapMemberO("[KEY_FIGURES].[].[CONFIRMEDPRODUCTION]","","Production Order","","000")</f>
        <v>Production Order</v>
      </c>
      <c r="AR179" s="2">
        <v>585</v>
      </c>
      <c r="AT179" s="2">
        <v>275</v>
      </c>
      <c r="AW179" s="2">
        <v>250</v>
      </c>
      <c r="AZ179" s="2">
        <v>275</v>
      </c>
    </row>
    <row r="180" spans="1:52" x14ac:dyDescent="0.35">
      <c r="A180" s="2" t="str">
        <f xml:space="preserve"> _xll.EPMOlapMemberO("[LOCID].[].[Munich plant]","","Munich plant","","000")</f>
        <v>Munich plant</v>
      </c>
      <c r="B180" s="2" t="str">
        <f xml:space="preserve"> _xll.EPMOlapMemberO("[PRDID].[].[999-60319-0130]","","999-60319-0130","","000")</f>
        <v>999-60319-0130</v>
      </c>
      <c r="C180" s="2" t="str">
        <f xml:space="preserve"> _xll.EPMOlapMemberO("[BRAND].[].[ L&amp;M]",""," L&amp;M","","000")</f>
        <v xml:space="preserve"> L&amp;M</v>
      </c>
      <c r="D180" s="2" t="str">
        <f xml:space="preserve"> _xll.EPMOlapMemberO("[AM2MARKETDESCR].[].[TURKEY DF]","","TURKEY DF","","000")</f>
        <v>TURKEY DF</v>
      </c>
      <c r="E180" s="2" t="str">
        <f xml:space="preserve"> _xll.EPMOlapMemberO("[AM2PARENTCUSTGROUP].[].[Mondelez]","","Mondelez","","000")</f>
        <v>Mondelez</v>
      </c>
      <c r="F180" s="2" t="str">
        <f xml:space="preserve"> _xll.EPMOlapMemberO("[KEY_FIGURES].[].[AM2ORDERINTAKE]","","Sales Order","","000")</f>
        <v>Sales Order</v>
      </c>
      <c r="AE180" s="2">
        <v>117</v>
      </c>
      <c r="AG180" s="2">
        <v>117</v>
      </c>
    </row>
    <row r="181" spans="1:52" x14ac:dyDescent="0.35">
      <c r="A181" s="2" t="str">
        <f xml:space="preserve"> _xll.EPMOlapMemberO("[LOCID].[].[Munich plant]","","Munich plant","","000")</f>
        <v>Munich plant</v>
      </c>
      <c r="B181" s="2" t="str">
        <f xml:space="preserve"> _xll.EPMOlapMemberO("[PRDID].[].[999-60319-0130]","","999-60319-0130","","000")</f>
        <v>999-60319-0130</v>
      </c>
      <c r="C181" s="2" t="str">
        <f xml:space="preserve"> _xll.EPMOlapMemberO("[BRAND].[].[ L&amp;M]",""," L&amp;M","","000")</f>
        <v xml:space="preserve"> L&amp;M</v>
      </c>
      <c r="D181" s="2" t="str">
        <f xml:space="preserve"> _xll.EPMOlapMemberO("[AM2MARKETDESCR].[].[TURKEY DF]","","TURKEY DF","","000")</f>
        <v>TURKEY DF</v>
      </c>
      <c r="E181" s="2" t="str">
        <f xml:space="preserve"> _xll.EPMOlapMemberO("[AM2PARENTCUSTGROUP].[].[Mondelez]","","Mondelez","","000")</f>
        <v>Mondelez</v>
      </c>
      <c r="F181" s="2" t="str">
        <f xml:space="preserve"> _xll.EPMOlapMemberO("[KEY_FIGURES].[].[AM2ACTUALSHIPMENTS]","","Shipments","","000")</f>
        <v>Shipments</v>
      </c>
      <c r="AH181" s="2">
        <v>117</v>
      </c>
      <c r="AJ181" s="2">
        <v>117</v>
      </c>
    </row>
    <row r="182" spans="1:52" x14ac:dyDescent="0.35">
      <c r="A182" s="2" t="str">
        <f xml:space="preserve"> _xll.EPMOlapMemberO("[LOCID].[].[Munich plant]","","Munich plant","","000")</f>
        <v>Munich plant</v>
      </c>
      <c r="B182" s="2" t="str">
        <f xml:space="preserve"> _xll.EPMOlapMemberO("[PRDID].[].[999-62616-0016]","","999-62616-0016","","000")</f>
        <v>999-62616-0016</v>
      </c>
      <c r="C182" s="2" t="str">
        <f xml:space="preserve"> _xll.EPMOlapMemberO("[BRAND].[].[ MARLBORO]",""," MARLBORO","","000")</f>
        <v xml:space="preserve"> MARLBORO</v>
      </c>
      <c r="D182" s="2" t="str">
        <f xml:space="preserve"> _xll.EPMOlapMemberO("[AM2MARKETDESCR].[].[SERBIA ]","","SERBIA ","","000")</f>
        <v xml:space="preserve">SERBIA </v>
      </c>
      <c r="E182" s="2" t="str">
        <f xml:space="preserve"> _xll.EPMOlapMemberO("[AM2PARENTCUSTGROUP].[].[Mondelez]","","Mondelez","","000")</f>
        <v>Mondelez</v>
      </c>
      <c r="F182" s="2" t="str">
        <f xml:space="preserve"> _xll.EPMOlapMemberO("[KEY_FIGURES].[].[AM2ORDERINTAKE]","","Sales Order","","000")</f>
        <v>Sales Order</v>
      </c>
      <c r="G182" s="2">
        <v>1395</v>
      </c>
      <c r="I182" s="2">
        <v>1275</v>
      </c>
      <c r="K182" s="2">
        <v>3210</v>
      </c>
    </row>
    <row r="183" spans="1:52" x14ac:dyDescent="0.35">
      <c r="A183" s="2" t="str">
        <f xml:space="preserve"> _xll.EPMOlapMemberO("[LOCID].[].[Munich plant]","","Munich plant","","000")</f>
        <v>Munich plant</v>
      </c>
      <c r="B183" s="2" t="str">
        <f xml:space="preserve"> _xll.EPMOlapMemberO("[PRDID].[].[999-62616-0016]","","999-62616-0016","","000")</f>
        <v>999-62616-0016</v>
      </c>
      <c r="C183" s="2" t="str">
        <f xml:space="preserve"> _xll.EPMOlapMemberO("[BRAND].[].[ MARLBORO]",""," MARLBORO","","000")</f>
        <v xml:space="preserve"> MARLBORO</v>
      </c>
      <c r="D183" s="2" t="str">
        <f xml:space="preserve"> _xll.EPMOlapMemberO("[AM2MARKETDESCR].[].[SERBIA ]","","SERBIA ","","000")</f>
        <v xml:space="preserve">SERBIA </v>
      </c>
      <c r="E183" s="2" t="str">
        <f xml:space="preserve"> _xll.EPMOlapMemberO("[AM2PARENTCUSTGROUP].[].[Mondelez]","","Mondelez","","000")</f>
        <v>Mondelez</v>
      </c>
      <c r="F183" s="2" t="str">
        <f xml:space="preserve"> _xll.EPMOlapMemberO("[KEY_FIGURES].[].[AM2ACTUALSHIPMENTS]","","Shipments","","000")</f>
        <v>Shipments</v>
      </c>
      <c r="G183" s="2">
        <v>720</v>
      </c>
      <c r="H183" s="2">
        <v>680</v>
      </c>
      <c r="J183" s="2">
        <v>960</v>
      </c>
      <c r="K183" s="2">
        <v>180</v>
      </c>
      <c r="L183" s="2">
        <v>2400</v>
      </c>
      <c r="M183" s="2">
        <v>810</v>
      </c>
    </row>
    <row r="184" spans="1:52" x14ac:dyDescent="0.35">
      <c r="A184" s="2" t="str">
        <f xml:space="preserve"> _xll.EPMOlapMemberO("[LOCID].[].[Munich plant]","","Munich plant","","000")</f>
        <v>Munich plant</v>
      </c>
      <c r="B184" s="2" t="str">
        <f xml:space="preserve"> _xll.EPMOlapMemberO("[PRDID].[].[999-62616-0588]","","999-62616-0588","","000")</f>
        <v>999-62616-0588</v>
      </c>
      <c r="C184" s="2" t="str">
        <f xml:space="preserve"> _xll.EPMOlapMemberO("[BRAND].[].[ MARLBORO]",""," MARLBORO","","000")</f>
        <v xml:space="preserve"> MARLBORO</v>
      </c>
      <c r="D184" s="2" t="str">
        <f xml:space="preserve"> _xll.EPMOlapMemberO("[AM2MARKETDESCR].[].[MACEDONIA ]","","MACEDONIA ","","000")</f>
        <v xml:space="preserve">MACEDONIA </v>
      </c>
      <c r="E184" s="2" t="str">
        <f xml:space="preserve"> _xll.EPMOlapMemberO("[AM2PARENTCUSTGROUP].[].[Mondelez]","","Mondelez","","000")</f>
        <v>Mondelez</v>
      </c>
      <c r="F184" s="2" t="str">
        <f xml:space="preserve"> _xll.EPMOlapMemberO("[KEY_FIGURES].[].[AM2ORDERINTAKE]","","Sales Order","","000")</f>
        <v>Sales Order</v>
      </c>
      <c r="M184" s="2">
        <v>180</v>
      </c>
    </row>
    <row r="185" spans="1:52" x14ac:dyDescent="0.35">
      <c r="A185" s="2" t="str">
        <f xml:space="preserve"> _xll.EPMOlapMemberO("[LOCID].[].[Munich plant]","","Munich plant","","000")</f>
        <v>Munich plant</v>
      </c>
      <c r="B185" s="2" t="str">
        <f xml:space="preserve"> _xll.EPMOlapMemberO("[PRDID].[].[999-62616-0588]","","999-62616-0588","","000")</f>
        <v>999-62616-0588</v>
      </c>
      <c r="C185" s="2" t="str">
        <f xml:space="preserve"> _xll.EPMOlapMemberO("[BRAND].[].[ MARLBORO]",""," MARLBORO","","000")</f>
        <v xml:space="preserve"> MARLBORO</v>
      </c>
      <c r="D185" s="2" t="str">
        <f xml:space="preserve"> _xll.EPMOlapMemberO("[AM2MARKETDESCR].[].[MACEDONIA ]","","MACEDONIA ","","000")</f>
        <v xml:space="preserve">MACEDONIA </v>
      </c>
      <c r="E185" s="2" t="str">
        <f xml:space="preserve"> _xll.EPMOlapMemberO("[AM2PARENTCUSTGROUP].[].[Mondelez]","","Mondelez","","000")</f>
        <v>Mondelez</v>
      </c>
      <c r="F185" s="2" t="str">
        <f xml:space="preserve"> _xll.EPMOlapMemberO("[KEY_FIGURES].[].[AM2ACTUALSHIPMENTS]","","Shipments","","000")</f>
        <v>Shipments</v>
      </c>
      <c r="M185" s="2">
        <v>120</v>
      </c>
      <c r="N185" s="2">
        <v>60</v>
      </c>
    </row>
    <row r="186" spans="1:52" x14ac:dyDescent="0.35">
      <c r="A186" s="2" t="str">
        <f xml:space="preserve"> _xll.EPMOlapMemberO("[LOCID].[].[Munich plant]","","Munich plant","","000")</f>
        <v>Munich plant</v>
      </c>
      <c r="B186" s="2" t="str">
        <f xml:space="preserve"> _xll.EPMOlapMemberO("[PRDID].[].[999-62616-0726]","","999-62616-0726","","000")</f>
        <v>999-62616-0726</v>
      </c>
      <c r="C186" s="2" t="str">
        <f xml:space="preserve"> _xll.EPMOlapMemberO("[BRAND].[].[ MARLBORO]",""," MARLBORO","","000")</f>
        <v xml:space="preserve"> MARLBORO</v>
      </c>
      <c r="D186" s="2" t="str">
        <f xml:space="preserve"> _xll.EPMOlapMemberO("[AM2MARKETDESCR].[].[MACEDONIA ]","","MACEDONIA ","","000")</f>
        <v xml:space="preserve">MACEDONIA </v>
      </c>
      <c r="E186" s="2" t="str">
        <f xml:space="preserve"> _xll.EPMOlapMemberO("[AM2PARENTCUSTGROUP].[].[Mondelez]","","Mondelez","","000")</f>
        <v>Mondelez</v>
      </c>
      <c r="F186" s="2" t="str">
        <f xml:space="preserve"> _xll.EPMOlapMemberO("[KEY_FIGURES].[].[AM2ORDERINTAKE]","","Sales Order","","000")</f>
        <v>Sales Order</v>
      </c>
      <c r="N186" s="2">
        <v>473</v>
      </c>
      <c r="O186" s="2">
        <v>633</v>
      </c>
      <c r="P186" s="2">
        <v>264</v>
      </c>
      <c r="T186" s="2">
        <v>760</v>
      </c>
    </row>
    <row r="187" spans="1:52" x14ac:dyDescent="0.35">
      <c r="A187" s="2" t="str">
        <f xml:space="preserve"> _xll.EPMOlapMemberO("[LOCID].[].[Munich plant]","","Munich plant","","000")</f>
        <v>Munich plant</v>
      </c>
      <c r="B187" s="2" t="str">
        <f xml:space="preserve"> _xll.EPMOlapMemberO("[PRDID].[].[999-62616-0726]","","999-62616-0726","","000")</f>
        <v>999-62616-0726</v>
      </c>
      <c r="C187" s="2" t="str">
        <f xml:space="preserve"> _xll.EPMOlapMemberO("[BRAND].[].[ MARLBORO]",""," MARLBORO","","000")</f>
        <v xml:space="preserve"> MARLBORO</v>
      </c>
      <c r="D187" s="2" t="str">
        <f xml:space="preserve"> _xll.EPMOlapMemberO("[AM2MARKETDESCR].[].[MACEDONIA ]","","MACEDONIA ","","000")</f>
        <v xml:space="preserve">MACEDONIA </v>
      </c>
      <c r="E187" s="2" t="str">
        <f xml:space="preserve"> _xll.EPMOlapMemberO("[AM2PARENTCUSTGROUP].[].[Mondelez]","","Mondelez","","000")</f>
        <v>Mondelez</v>
      </c>
      <c r="F187" s="2" t="str">
        <f xml:space="preserve"> _xll.EPMOlapMemberO("[KEY_FIGURES].[].[AM2ACTUALSHIPMENTS]","","Shipments","","000")</f>
        <v>Shipments</v>
      </c>
      <c r="N187" s="2">
        <v>480</v>
      </c>
      <c r="O187" s="2">
        <v>640</v>
      </c>
      <c r="S187" s="2">
        <v>270</v>
      </c>
      <c r="T187" s="2">
        <v>760</v>
      </c>
    </row>
    <row r="188" spans="1:52" x14ac:dyDescent="0.35">
      <c r="A188" s="2" t="str">
        <f xml:space="preserve"> _xll.EPMOlapMemberO("[LOCID].[].[Munich plant]","","Munich plant","","000")</f>
        <v>Munich plant</v>
      </c>
      <c r="B188" s="2" t="str">
        <f xml:space="preserve"> _xll.EPMOlapMemberO("[PRDID].[].[999-62616-0845]","","999-62616-0845","","000")</f>
        <v>999-62616-0845</v>
      </c>
      <c r="C188" s="2" t="str">
        <f xml:space="preserve"> _xll.EPMOlapMemberO("[BRAND].[].[ MARLBORO]",""," MARLBORO","","000")</f>
        <v xml:space="preserve"> MARLBORO</v>
      </c>
      <c r="D188" s="2" t="str">
        <f xml:space="preserve"> _xll.EPMOlapMemberO("[AM2MARKETDESCR].[].[ALGERIA ESTIC]","","ALGERIA ESTIC","","000")</f>
        <v>ALGERIA ESTIC</v>
      </c>
      <c r="E188" s="2" t="str">
        <f xml:space="preserve"> _xll.EPMOlapMemberO("[AM2PARENTCUSTGROUP].[].[Mondelez]","","Mondelez","","000")</f>
        <v>Mondelez</v>
      </c>
      <c r="F188" s="2" t="str">
        <f xml:space="preserve"> _xll.EPMOlapMemberO("[KEY_FIGURES].[].[AM2ORDERINTAKE]","","Sales Order","","000")</f>
        <v>Sales Order</v>
      </c>
      <c r="AE188" s="2">
        <v>34420</v>
      </c>
      <c r="AF188" s="2">
        <v>8640</v>
      </c>
      <c r="AG188" s="2">
        <v>21600</v>
      </c>
      <c r="AH188" s="2">
        <v>12937</v>
      </c>
      <c r="AI188" s="2">
        <v>17280</v>
      </c>
      <c r="AJ188" s="2">
        <v>21600</v>
      </c>
      <c r="AL188" s="2">
        <v>1200</v>
      </c>
    </row>
    <row r="189" spans="1:52" x14ac:dyDescent="0.35">
      <c r="A189" s="2" t="str">
        <f xml:space="preserve"> _xll.EPMOlapMemberO("[LOCID].[].[Munich plant]","","Munich plant","","000")</f>
        <v>Munich plant</v>
      </c>
      <c r="B189" s="2" t="str">
        <f xml:space="preserve"> _xll.EPMOlapMemberO("[PRDID].[].[999-62616-0845]","","999-62616-0845","","000")</f>
        <v>999-62616-0845</v>
      </c>
      <c r="C189" s="2" t="str">
        <f xml:space="preserve"> _xll.EPMOlapMemberO("[BRAND].[].[ MARLBORO]",""," MARLBORO","","000")</f>
        <v xml:space="preserve"> MARLBORO</v>
      </c>
      <c r="D189" s="2" t="str">
        <f xml:space="preserve"> _xll.EPMOlapMemberO("[AM2MARKETDESCR].[].[ALGERIA ESTIC]","","ALGERIA ESTIC","","000")</f>
        <v>ALGERIA ESTIC</v>
      </c>
      <c r="E189" s="2" t="str">
        <f xml:space="preserve"> _xll.EPMOlapMemberO("[AM2PARENTCUSTGROUP].[].[Mondelez]","","Mondelez","","000")</f>
        <v>Mondelez</v>
      </c>
      <c r="F189" s="2" t="str">
        <f xml:space="preserve"> _xll.EPMOlapMemberO("[KEY_FIGURES].[].[AM2ACTUALSHIPMENTS]","","Shipments","","000")</f>
        <v>Shipments</v>
      </c>
      <c r="AE189" s="2">
        <v>8640</v>
      </c>
      <c r="AF189" s="2">
        <v>25660</v>
      </c>
      <c r="AG189" s="2">
        <v>8620</v>
      </c>
      <c r="AH189" s="2">
        <v>3920</v>
      </c>
      <c r="AI189" s="2">
        <v>4290</v>
      </c>
      <c r="AJ189" s="2">
        <v>4200</v>
      </c>
      <c r="AK189" s="2">
        <v>9690</v>
      </c>
    </row>
    <row r="190" spans="1:52" x14ac:dyDescent="0.35">
      <c r="A190" s="2" t="str">
        <f xml:space="preserve"> _xll.EPMOlapMemberO("[LOCID].[].[Munich plant]","","Munich plant","","000")</f>
        <v>Munich plant</v>
      </c>
      <c r="B190" s="2" t="str">
        <f xml:space="preserve"> _xll.EPMOlapMemberO("[PRDID].[].[999-62616-0873]","","999-62616-0873","","000")</f>
        <v>999-62616-0873</v>
      </c>
      <c r="C190" s="2" t="str">
        <f xml:space="preserve"> _xll.EPMOlapMemberO("[BRAND].[].[ MARLBORO]",""," MARLBORO","","000")</f>
        <v xml:space="preserve"> MARLBORO</v>
      </c>
      <c r="D190" s="2" t="str">
        <f xml:space="preserve"> _xll.EPMOlapMemberO("[AM2MARKETDESCR].[].[SPAIN MAINLAND ]","","SPAIN MAINLAND ","","000")</f>
        <v xml:space="preserve">SPAIN MAINLAND </v>
      </c>
      <c r="E190" s="2" t="str">
        <f xml:space="preserve"> _xll.EPMOlapMemberO("[AM2PARENTCUSTGROUP].[].[Mondelez]","","Mondelez","","000")</f>
        <v>Mondelez</v>
      </c>
      <c r="F190" s="2" t="str">
        <f xml:space="preserve"> _xll.EPMOlapMemberO("[KEY_FIGURES].[].[AM2ORDERINTAKE]","","Sales Order","","000")</f>
        <v>Sales Order</v>
      </c>
      <c r="AP190" s="2">
        <v>10200</v>
      </c>
    </row>
    <row r="191" spans="1:52" x14ac:dyDescent="0.35">
      <c r="A191" s="2" t="str">
        <f xml:space="preserve"> _xll.EPMOlapMemberO("[LOCID].[].[Munich plant]","","Munich plant","","000")</f>
        <v>Munich plant</v>
      </c>
      <c r="B191" s="2" t="str">
        <f xml:space="preserve"> _xll.EPMOlapMemberO("[PRDID].[].[999-62616-0873]","","999-62616-0873","","000")</f>
        <v>999-62616-0873</v>
      </c>
      <c r="C191" s="2" t="str">
        <f xml:space="preserve"> _xll.EPMOlapMemberO("[BRAND].[].[ MARLBORO]",""," MARLBORO","","000")</f>
        <v xml:space="preserve"> MARLBORO</v>
      </c>
      <c r="D191" s="2" t="str">
        <f xml:space="preserve"> _xll.EPMOlapMemberO("[AM2MARKETDESCR].[].[SPAIN MAINLAND ]","","SPAIN MAINLAND ","","000")</f>
        <v xml:space="preserve">SPAIN MAINLAND </v>
      </c>
      <c r="E191" s="2" t="str">
        <f xml:space="preserve"> _xll.EPMOlapMemberO("[AM2PARENTCUSTGROUP].[].[Mondelez]","","Mondelez","","000")</f>
        <v>Mondelez</v>
      </c>
      <c r="F191" s="2" t="str">
        <f xml:space="preserve"> _xll.EPMOlapMemberO("[KEY_FIGURES].[].[AM2ACTUALSHIPMENTS]","","Shipments","","000")</f>
        <v>Shipments</v>
      </c>
      <c r="AP191" s="2">
        <v>10200</v>
      </c>
    </row>
    <row r="192" spans="1:52" x14ac:dyDescent="0.35">
      <c r="A192" s="2" t="str">
        <f xml:space="preserve"> _xll.EPMOlapMemberO("[LOCID].[].[Munich plant]","","Munich plant","","000")</f>
        <v>Munich plant</v>
      </c>
      <c r="B192" s="2" t="str">
        <f xml:space="preserve"> _xll.EPMOlapMemberO("[PRDID].[].[999-62882-0008]","","999-62882-0008","","000")</f>
        <v>999-62882-0008</v>
      </c>
      <c r="C192" s="2" t="str">
        <f xml:space="preserve"> _xll.EPMOlapMemberO("[BRAND].[].[ NOBEL]",""," NOBEL","","000")</f>
        <v xml:space="preserve"> NOBEL</v>
      </c>
      <c r="D192" s="2" t="str">
        <f xml:space="preserve"> _xll.EPMOlapMemberO("[AM2MARKETDESCR].[].[SPAIN]","","SPAIN","","000")</f>
        <v>SPAIN</v>
      </c>
      <c r="E192" s="2" t="str">
        <f xml:space="preserve"> _xll.EPMOlapMemberO("[AM2PARENTCUSTGROUP].[].[__NULL]","","(None)","","000")</f>
        <v>(None)</v>
      </c>
      <c r="F192" s="2" t="str">
        <f xml:space="preserve"> _xll.EPMOlapMemberO("[KEY_FIGURES].[].[INITIALINVENTORY]","","Stock","","000")</f>
        <v>Stock</v>
      </c>
      <c r="AQ192" s="2">
        <v>109.2</v>
      </c>
    </row>
    <row r="193" spans="1:52" x14ac:dyDescent="0.35">
      <c r="A193" s="2" t="str">
        <f xml:space="preserve"> _xll.EPMOlapMemberO("[LOCID].[].[Munich plant]","","Munich plant","","000")</f>
        <v>Munich plant</v>
      </c>
      <c r="B193" s="2" t="str">
        <f xml:space="preserve"> _xll.EPMOlapMemberO("[PRDID].[].[999-62882-0008]","","999-62882-0008","","000")</f>
        <v>999-62882-0008</v>
      </c>
      <c r="C193" s="2" t="str">
        <f xml:space="preserve"> _xll.EPMOlapMemberO("[BRAND].[].[ NOBEL]",""," NOBEL","","000")</f>
        <v xml:space="preserve"> NOBEL</v>
      </c>
      <c r="D193" s="2" t="str">
        <f xml:space="preserve"> _xll.EPMOlapMemberO("[AM2MARKETDESCR].[].[SPAIN]","","SPAIN","","000")</f>
        <v>SPAIN</v>
      </c>
      <c r="E193" s="2" t="str">
        <f xml:space="preserve"> _xll.EPMOlapMemberO("[AM2PARENTCUSTGROUP].[].[__NULL]","","(None)","","000")</f>
        <v>(None)</v>
      </c>
      <c r="F193" s="2" t="str">
        <f xml:space="preserve"> _xll.EPMOlapMemberO("[KEY_FIGURES].[].[CONFIRMEDPRODUCTION]","","Production Order","","000")</f>
        <v>Production Order</v>
      </c>
      <c r="AU193" s="2">
        <v>64</v>
      </c>
    </row>
    <row r="194" spans="1:52" x14ac:dyDescent="0.35">
      <c r="A194" s="2" t="str">
        <f xml:space="preserve"> _xll.EPMOlapMemberO("[LOCID].[].[Munich plant]","","Munich plant","","000")</f>
        <v>Munich plant</v>
      </c>
      <c r="B194" s="2" t="str">
        <f xml:space="preserve"> _xll.EPMOlapMemberO("[PRDID].[].[999-63073-0015]","","999-63073-0015","","000")</f>
        <v>999-63073-0015</v>
      </c>
      <c r="C194" s="2" t="str">
        <f xml:space="preserve"> _xll.EPMOlapMemberO("[BRAND].[].[ PRIMA]",""," PRIMA","","000")</f>
        <v xml:space="preserve"> PRIMA</v>
      </c>
      <c r="D194" s="2" t="str">
        <f xml:space="preserve"> _xll.EPMOlapMemberO("[AM2MARKETDESCR].[].[UKRAINE]","","UKRAINE","","000")</f>
        <v>UKRAINE</v>
      </c>
      <c r="E194" s="2" t="str">
        <f xml:space="preserve"> _xll.EPMOlapMemberO("[AM2PARENTCUSTGROUP].[].[__NULL]","","(None)","","000")</f>
        <v>(None)</v>
      </c>
      <c r="F194" s="2" t="str">
        <f xml:space="preserve"> _xll.EPMOlapMemberO("[KEY_FIGURES].[].[INITIALINVENTORY]","","Stock","","000")</f>
        <v>Stock</v>
      </c>
      <c r="AQ194" s="2">
        <v>129.6</v>
      </c>
    </row>
    <row r="195" spans="1:52" x14ac:dyDescent="0.35">
      <c r="A195" s="2" t="str">
        <f xml:space="preserve"> _xll.EPMOlapMemberO("[LOCID].[].[Munich plant]","","Munich plant","","000")</f>
        <v>Munich plant</v>
      </c>
      <c r="B195" s="2" t="str">
        <f xml:space="preserve"> _xll.EPMOlapMemberO("[PRDID].[].[999-63073-0015]","","999-63073-0015","","000")</f>
        <v>999-63073-0015</v>
      </c>
      <c r="C195" s="2" t="str">
        <f xml:space="preserve"> _xll.EPMOlapMemberO("[BRAND].[].[ PRIMA]",""," PRIMA","","000")</f>
        <v xml:space="preserve"> PRIMA</v>
      </c>
      <c r="D195" s="2" t="str">
        <f xml:space="preserve"> _xll.EPMOlapMemberO("[AM2MARKETDESCR].[].[UKRAINE]","","UKRAINE","","000")</f>
        <v>UKRAINE</v>
      </c>
      <c r="E195" s="2" t="str">
        <f xml:space="preserve"> _xll.EPMOlapMemberO("[AM2PARENTCUSTGROUP].[].[__NULL]","","(None)","","000")</f>
        <v>(None)</v>
      </c>
      <c r="F195" s="2" t="str">
        <f xml:space="preserve"> _xll.EPMOlapMemberO("[KEY_FIGURES].[].[CONFIRMEDPRODUCTION]","","Production Order","","000")</f>
        <v>Production Order</v>
      </c>
      <c r="AT195" s="2">
        <v>236.1</v>
      </c>
      <c r="AW195" s="2">
        <v>70.55</v>
      </c>
      <c r="AZ195" s="2">
        <v>257.45</v>
      </c>
    </row>
    <row r="196" spans="1:52" x14ac:dyDescent="0.35">
      <c r="A196" s="2" t="str">
        <f xml:space="preserve"> _xll.EPMOlapMemberO("[LOCID].[].[Munich plant]","","Munich plant","","000")</f>
        <v>Munich plant</v>
      </c>
      <c r="B196" s="2" t="str">
        <f xml:space="preserve"> _xll.EPMOlapMemberO("[PRDID].[].[999-63073-0016]","","999-63073-0016","","000")</f>
        <v>999-63073-0016</v>
      </c>
      <c r="C196" s="2" t="str">
        <f xml:space="preserve"> _xll.EPMOlapMemberO("[BRAND].[].[ PRIMA]",""," PRIMA","","000")</f>
        <v xml:space="preserve"> PRIMA</v>
      </c>
      <c r="D196" s="2" t="str">
        <f xml:space="preserve"> _xll.EPMOlapMemberO("[AM2MARKETDESCR].[].[UKRAINE]","","UKRAINE","","000")</f>
        <v>UKRAINE</v>
      </c>
      <c r="E196" s="2" t="str">
        <f xml:space="preserve"> _xll.EPMOlapMemberO("[AM2PARENTCUSTGROUP].[].[__NULL]","","(None)","","000")</f>
        <v>(None)</v>
      </c>
      <c r="F196" s="2" t="str">
        <f xml:space="preserve"> _xll.EPMOlapMemberO("[KEY_FIGURES].[].[INITIALINVENTORY]","","Stock","","000")</f>
        <v>Stock</v>
      </c>
      <c r="AQ196" s="2">
        <v>1036.8</v>
      </c>
    </row>
    <row r="197" spans="1:52" x14ac:dyDescent="0.35">
      <c r="A197" s="2" t="str">
        <f xml:space="preserve"> _xll.EPMOlapMemberO("[LOCID].[].[Munich plant]","","Munich plant","","000")</f>
        <v>Munich plant</v>
      </c>
      <c r="B197" s="2" t="str">
        <f xml:space="preserve"> _xll.EPMOlapMemberO("[PRDID].[].[999-63073-0016]","","999-63073-0016","","000")</f>
        <v>999-63073-0016</v>
      </c>
      <c r="C197" s="2" t="str">
        <f xml:space="preserve"> _xll.EPMOlapMemberO("[BRAND].[].[ PRIMA]",""," PRIMA","","000")</f>
        <v xml:space="preserve"> PRIMA</v>
      </c>
      <c r="D197" s="2" t="str">
        <f xml:space="preserve"> _xll.EPMOlapMemberO("[AM2MARKETDESCR].[].[UKRAINE]","","UKRAINE","","000")</f>
        <v>UKRAINE</v>
      </c>
      <c r="E197" s="2" t="str">
        <f xml:space="preserve"> _xll.EPMOlapMemberO("[AM2PARENTCUSTGROUP].[].[__NULL]","","(None)","","000")</f>
        <v>(None)</v>
      </c>
      <c r="F197" s="2" t="str">
        <f xml:space="preserve"> _xll.EPMOlapMemberO("[KEY_FIGURES].[].[CONFIRMEDPRODUCTION]","","Production Order","","000")</f>
        <v>Production Order</v>
      </c>
      <c r="AT197" s="2">
        <v>1751.4</v>
      </c>
      <c r="AW197" s="2">
        <v>817.8</v>
      </c>
      <c r="AZ197" s="2">
        <v>1615.6</v>
      </c>
    </row>
    <row r="198" spans="1:52" x14ac:dyDescent="0.35">
      <c r="A198" s="2" t="str">
        <f xml:space="preserve"> _xll.EPMOlapMemberO("[LOCID].[].[Munich plant]","","Munich plant","","000")</f>
        <v>Munich plant</v>
      </c>
      <c r="B198" s="2" t="str">
        <f xml:space="preserve"> _xll.EPMOlapMemberO("[PRDID].[].[999-63073-0017]","","999-63073-0017","","000")</f>
        <v>999-63073-0017</v>
      </c>
      <c r="C198" s="2" t="str">
        <f xml:space="preserve"> _xll.EPMOlapMemberO("[BRAND].[].[ PRIMA]",""," PRIMA","","000")</f>
        <v xml:space="preserve"> PRIMA</v>
      </c>
      <c r="D198" s="2" t="str">
        <f xml:space="preserve"> _xll.EPMOlapMemberO("[AM2MARKETDESCR].[].[UKRAINE]","","UKRAINE","","000")</f>
        <v>UKRAINE</v>
      </c>
      <c r="E198" s="2" t="str">
        <f xml:space="preserve"> _xll.EPMOlapMemberO("[AM2PARENTCUSTGROUP].[].[__NULL]","","(None)","","000")</f>
        <v>(None)</v>
      </c>
      <c r="F198" s="2" t="str">
        <f xml:space="preserve"> _xll.EPMOlapMemberO("[KEY_FIGURES].[].[INITIALINVENTORY]","","Stock","","000")</f>
        <v>Stock</v>
      </c>
      <c r="AQ198" s="2">
        <v>907.2</v>
      </c>
    </row>
    <row r="199" spans="1:52" x14ac:dyDescent="0.35">
      <c r="A199" s="2" t="str">
        <f xml:space="preserve"> _xll.EPMOlapMemberO("[LOCID].[].[Munich plant]","","Munich plant","","000")</f>
        <v>Munich plant</v>
      </c>
      <c r="B199" s="2" t="str">
        <f xml:space="preserve"> _xll.EPMOlapMemberO("[PRDID].[].[999-63073-0017]","","999-63073-0017","","000")</f>
        <v>999-63073-0017</v>
      </c>
      <c r="C199" s="2" t="str">
        <f xml:space="preserve"> _xll.EPMOlapMemberO("[BRAND].[].[ PRIMA]",""," PRIMA","","000")</f>
        <v xml:space="preserve"> PRIMA</v>
      </c>
      <c r="D199" s="2" t="str">
        <f xml:space="preserve"> _xll.EPMOlapMemberO("[AM2MARKETDESCR].[].[UKRAINE]","","UKRAINE","","000")</f>
        <v>UKRAINE</v>
      </c>
      <c r="E199" s="2" t="str">
        <f xml:space="preserve"> _xll.EPMOlapMemberO("[AM2PARENTCUSTGROUP].[].[__NULL]","","(None)","","000")</f>
        <v>(None)</v>
      </c>
      <c r="F199" s="2" t="str">
        <f xml:space="preserve"> _xll.EPMOlapMemberO("[KEY_FIGURES].[].[CONFIRMEDPRODUCTION]","","Production Order","","000")</f>
        <v>Production Order</v>
      </c>
      <c r="AT199" s="2">
        <v>1799</v>
      </c>
      <c r="AW199" s="2">
        <v>849.8</v>
      </c>
      <c r="AZ199" s="2">
        <v>1678.85</v>
      </c>
    </row>
    <row r="200" spans="1:52" x14ac:dyDescent="0.35">
      <c r="A200" s="2" t="str">
        <f xml:space="preserve"> _xll.EPMOlapMemberO("[LOCID].[].[Munich plant]","","Munich plant","","000")</f>
        <v>Munich plant</v>
      </c>
      <c r="B200" s="2" t="str">
        <f xml:space="preserve"> _xll.EPMOlapMemberO("[PRDID].[].[999-63381-0386]","","999-63381-0386","","000")</f>
        <v>999-63381-0386</v>
      </c>
      <c r="C200" s="2" t="str">
        <f xml:space="preserve"> _xll.EPMOlapMemberO("[BRAND].[].[ MARLBORO]",""," MARLBORO","","000")</f>
        <v xml:space="preserve"> MARLBORO</v>
      </c>
      <c r="D200" s="2" t="str">
        <f xml:space="preserve"> _xll.EPMOlapMemberO("[AM2MARKETDESCR].[].[JAPAN ]","","JAPAN ","","000")</f>
        <v xml:space="preserve">JAPAN </v>
      </c>
      <c r="E200" s="2" t="str">
        <f xml:space="preserve"> _xll.EPMOlapMemberO("[AM2PARENTCUSTGROUP].[].[Mondelez]","","Mondelez","","000")</f>
        <v>Mondelez</v>
      </c>
      <c r="F200" s="2" t="str">
        <f xml:space="preserve"> _xll.EPMOlapMemberO("[KEY_FIGURES].[].[AM2ORDERINTAKE]","","Sales Order","","000")</f>
        <v>Sales Order</v>
      </c>
      <c r="R200" s="2">
        <v>6513</v>
      </c>
      <c r="S200" s="2">
        <v>7254</v>
      </c>
    </row>
    <row r="201" spans="1:52" x14ac:dyDescent="0.35">
      <c r="A201" s="2" t="str">
        <f xml:space="preserve"> _xll.EPMOlapMemberO("[LOCID].[].[Munich plant]","","Munich plant","","000")</f>
        <v>Munich plant</v>
      </c>
      <c r="B201" s="2" t="str">
        <f xml:space="preserve"> _xll.EPMOlapMemberO("[PRDID].[].[999-63381-0386]","","999-63381-0386","","000")</f>
        <v>999-63381-0386</v>
      </c>
      <c r="C201" s="2" t="str">
        <f xml:space="preserve"> _xll.EPMOlapMemberO("[BRAND].[].[ MARLBORO]",""," MARLBORO","","000")</f>
        <v xml:space="preserve"> MARLBORO</v>
      </c>
      <c r="D201" s="2" t="str">
        <f xml:space="preserve"> _xll.EPMOlapMemberO("[AM2MARKETDESCR].[].[JAPAN ]","","JAPAN ","","000")</f>
        <v xml:space="preserve">JAPAN </v>
      </c>
      <c r="E201" s="2" t="str">
        <f xml:space="preserve"> _xll.EPMOlapMemberO("[AM2PARENTCUSTGROUP].[].[Mondelez]","","Mondelez","","000")</f>
        <v>Mondelez</v>
      </c>
      <c r="F201" s="2" t="str">
        <f xml:space="preserve"> _xll.EPMOlapMemberO("[KEY_FIGURES].[].[AM2ACTUALSHIPMENTS]","","Shipments","","000")</f>
        <v>Shipments</v>
      </c>
      <c r="R201" s="2">
        <v>6474</v>
      </c>
      <c r="S201" s="2">
        <v>6084</v>
      </c>
      <c r="T201" s="2">
        <v>692.25</v>
      </c>
    </row>
    <row r="202" spans="1:52" x14ac:dyDescent="0.35">
      <c r="A202" s="2" t="str">
        <f xml:space="preserve"> _xll.EPMOlapMemberO("[LOCID].[].[Munich plant]","","Munich plant","","000")</f>
        <v>Munich plant</v>
      </c>
      <c r="B202" s="2" t="str">
        <f xml:space="preserve"> _xll.EPMOlapMemberO("[PRDID].[].[999-65531-0035]","","999-65531-0035","","000")</f>
        <v>999-65531-0035</v>
      </c>
      <c r="C202" s="2" t="str">
        <f xml:space="preserve"> _xll.EPMOlapMemberO("[BRAND].[].[ REGAL]",""," REGAL","","000")</f>
        <v xml:space="preserve"> REGAL</v>
      </c>
      <c r="D202" s="2" t="str">
        <f xml:space="preserve"> _xll.EPMOlapMemberO("[AM2MARKETDESCR].[].[SPAIN]","","SPAIN","","000")</f>
        <v>SPAIN</v>
      </c>
      <c r="E202" s="2" t="str">
        <f xml:space="preserve"> _xll.EPMOlapMemberO("[AM2PARENTCUSTGROUP].[].[__NULL]","","(None)","","000")</f>
        <v>(None)</v>
      </c>
      <c r="F202" s="2" t="str">
        <f xml:space="preserve"> _xll.EPMOlapMemberO("[KEY_FIGURES].[].[CONFIRMEDPRODUCTION]","","Production Order","","000")</f>
        <v>Production Order</v>
      </c>
      <c r="AR202" s="2">
        <v>123.2</v>
      </c>
      <c r="AT202" s="2">
        <v>25</v>
      </c>
      <c r="AU202" s="2">
        <v>125</v>
      </c>
      <c r="AW202" s="2">
        <v>55</v>
      </c>
      <c r="AX202" s="2">
        <v>60</v>
      </c>
      <c r="AZ202" s="2">
        <v>95</v>
      </c>
    </row>
    <row r="203" spans="1:52" x14ac:dyDescent="0.35">
      <c r="A203" s="2" t="str">
        <f xml:space="preserve"> _xll.EPMOlapMemberO("[LOCID].[].[Munich plant]","","Munich plant","","000")</f>
        <v>Munich plant</v>
      </c>
      <c r="B203" s="2" t="str">
        <f xml:space="preserve"> _xll.EPMOlapMemberO("[PRDID].[].[999-65805-0089]","","999-65805-0089","","000")</f>
        <v>999-65805-0089</v>
      </c>
      <c r="C203" s="2" t="str">
        <f xml:space="preserve"> _xll.EPMOlapMemberO("[BRAND].[].[ R1]",""," R1","","000")</f>
        <v xml:space="preserve"> R1</v>
      </c>
      <c r="D203" s="2" t="str">
        <f xml:space="preserve"> _xll.EPMOlapMemberO("[AM2MARKETDESCR].[].[GERMANY]","","GERMANY","","000")</f>
        <v>GERMANY</v>
      </c>
      <c r="E203" s="2" t="str">
        <f xml:space="preserve"> _xll.EPMOlapMemberO("[AM2PARENTCUSTGROUP].[].[__NULL]","","(None)","","000")</f>
        <v>(None)</v>
      </c>
      <c r="F203" s="2" t="str">
        <f xml:space="preserve"> _xll.EPMOlapMemberO("[KEY_FIGURES].[].[CONFIRMEDPRODUCTION]","","Production Order","","000")</f>
        <v>Production Order</v>
      </c>
      <c r="AV203" s="2">
        <v>804.75</v>
      </c>
      <c r="AY203" s="2">
        <v>797.5</v>
      </c>
    </row>
    <row r="204" spans="1:52" x14ac:dyDescent="0.35">
      <c r="A204" s="2" t="str">
        <f xml:space="preserve"> _xll.EPMOlapMemberO("[LOCID].[].[Munich plant]","","Munich plant","","000")</f>
        <v>Munich plant</v>
      </c>
      <c r="B204" s="2" t="str">
        <f xml:space="preserve"> _xll.EPMOlapMemberO("[PRDID].[].[999-65805-0090]","","999-65805-0090","","000")</f>
        <v>999-65805-0090</v>
      </c>
      <c r="C204" s="2" t="str">
        <f xml:space="preserve"> _xll.EPMOlapMemberO("[BRAND].[].[ R1]",""," R1","","000")</f>
        <v xml:space="preserve"> R1</v>
      </c>
      <c r="D204" s="2" t="str">
        <f xml:space="preserve"> _xll.EPMOlapMemberO("[AM2MARKETDESCR].[].[GERMANY]","","GERMANY","","000")</f>
        <v>GERMANY</v>
      </c>
      <c r="E204" s="2" t="str">
        <f xml:space="preserve"> _xll.EPMOlapMemberO("[AM2PARENTCUSTGROUP].[].[__NULL]","","(None)","","000")</f>
        <v>(None)</v>
      </c>
      <c r="F204" s="2" t="str">
        <f xml:space="preserve"> _xll.EPMOlapMemberO("[KEY_FIGURES].[].[INITIALINVENTORY]","","Stock","","000")</f>
        <v>Stock</v>
      </c>
      <c r="AQ204" s="2">
        <v>403.2</v>
      </c>
    </row>
    <row r="205" spans="1:52" x14ac:dyDescent="0.35">
      <c r="A205" s="2" t="str">
        <f xml:space="preserve"> _xll.EPMOlapMemberO("[LOCID].[].[Munich plant]","","Munich plant","","000")</f>
        <v>Munich plant</v>
      </c>
      <c r="B205" s="2" t="str">
        <f xml:space="preserve"> _xll.EPMOlapMemberO("[PRDID].[].[999-65805-0090]","","999-65805-0090","","000")</f>
        <v>999-65805-0090</v>
      </c>
      <c r="C205" s="2" t="str">
        <f xml:space="preserve"> _xll.EPMOlapMemberO("[BRAND].[].[ R1]",""," R1","","000")</f>
        <v xml:space="preserve"> R1</v>
      </c>
      <c r="D205" s="2" t="str">
        <f xml:space="preserve"> _xll.EPMOlapMemberO("[AM2MARKETDESCR].[].[GERMANY]","","GERMANY","","000")</f>
        <v>GERMANY</v>
      </c>
      <c r="E205" s="2" t="str">
        <f xml:space="preserve"> _xll.EPMOlapMemberO("[AM2PARENTCUSTGROUP].[].[__NULL]","","(None)","","000")</f>
        <v>(None)</v>
      </c>
      <c r="F205" s="2" t="str">
        <f xml:space="preserve"> _xll.EPMOlapMemberO("[KEY_FIGURES].[].[CONFIRMEDPRODUCTION]","","Production Order","","000")</f>
        <v>Production Order</v>
      </c>
      <c r="AR205" s="2">
        <v>504</v>
      </c>
      <c r="AV205" s="2">
        <v>6000</v>
      </c>
      <c r="AX205" s="2">
        <v>4454.5</v>
      </c>
    </row>
    <row r="206" spans="1:52" x14ac:dyDescent="0.35">
      <c r="A206" s="2" t="str">
        <f xml:space="preserve"> _xll.EPMOlapMemberO("[LOCID].[].[Munich plant]","","Munich plant","","000")</f>
        <v>Munich plant</v>
      </c>
      <c r="B206" s="2" t="str">
        <f xml:space="preserve"> _xll.EPMOlapMemberO("[PRDID].[].[999-65805-0091]","","999-65805-0091","","000")</f>
        <v>999-65805-0091</v>
      </c>
      <c r="C206" s="2" t="str">
        <f xml:space="preserve"> _xll.EPMOlapMemberO("[BRAND].[].[ R1]",""," R1","","000")</f>
        <v xml:space="preserve"> R1</v>
      </c>
      <c r="D206" s="2" t="str">
        <f xml:space="preserve"> _xll.EPMOlapMemberO("[AM2MARKETDESCR].[].[GERMANY]","","GERMANY","","000")</f>
        <v>GERMANY</v>
      </c>
      <c r="E206" s="2" t="str">
        <f xml:space="preserve"> _xll.EPMOlapMemberO("[AM2PARENTCUSTGROUP].[].[__NULL]","","(None)","","000")</f>
        <v>(None)</v>
      </c>
      <c r="F206" s="2" t="str">
        <f xml:space="preserve"> _xll.EPMOlapMemberO("[KEY_FIGURES].[].[CONFIRMEDPRODUCTION]","","Production Order","","000")</f>
        <v>Production Order</v>
      </c>
      <c r="AR206" s="2">
        <v>221.63499999999999</v>
      </c>
      <c r="AV206" s="2">
        <v>28.571000000000002</v>
      </c>
      <c r="AY206" s="2">
        <v>119.048</v>
      </c>
    </row>
    <row r="207" spans="1:52" x14ac:dyDescent="0.35">
      <c r="A207" s="2" t="str">
        <f xml:space="preserve"> _xll.EPMOlapMemberO("[LOCID].[].[Munich plant]","","Munich plant","","000")</f>
        <v>Munich plant</v>
      </c>
      <c r="B207" s="2" t="str">
        <f xml:space="preserve"> _xll.EPMOlapMemberO("[PRDID].[].[999-65805-0092]","","999-65805-0092","","000")</f>
        <v>999-65805-0092</v>
      </c>
      <c r="C207" s="2" t="str">
        <f xml:space="preserve"> _xll.EPMOlapMemberO("[BRAND].[].[ R1]",""," R1","","000")</f>
        <v xml:space="preserve"> R1</v>
      </c>
      <c r="D207" s="2" t="str">
        <f xml:space="preserve"> _xll.EPMOlapMemberO("[AM2MARKETDESCR].[].[CZECH REPUBLIC]","","CZECH REPUBLIC","","000")</f>
        <v>CZECH REPUBLIC</v>
      </c>
      <c r="E207" s="2" t="str">
        <f xml:space="preserve"> _xll.EPMOlapMemberO("[AM2PARENTCUSTGROUP].[].[__NULL]","","(None)","","000")</f>
        <v>(None)</v>
      </c>
      <c r="F207" s="2" t="str">
        <f xml:space="preserve"> _xll.EPMOlapMemberO("[KEY_FIGURES].[].[INITIALINVENTORY]","","Stock","","000")</f>
        <v>Stock</v>
      </c>
      <c r="AQ207" s="2">
        <v>302.39999999999998</v>
      </c>
    </row>
    <row r="208" spans="1:52" x14ac:dyDescent="0.35">
      <c r="A208" s="2" t="str">
        <f xml:space="preserve"> _xll.EPMOlapMemberO("[LOCID].[].[Munich plant]","","Munich plant","","000")</f>
        <v>Munich plant</v>
      </c>
      <c r="B208" s="2" t="str">
        <f xml:space="preserve"> _xll.EPMOlapMemberO("[PRDID].[].[999-65805-0092]","","999-65805-0092","","000")</f>
        <v>999-65805-0092</v>
      </c>
      <c r="C208" s="2" t="str">
        <f xml:space="preserve"> _xll.EPMOlapMemberO("[BRAND].[].[ R1]",""," R1","","000")</f>
        <v xml:space="preserve"> R1</v>
      </c>
      <c r="D208" s="2" t="str">
        <f xml:space="preserve"> _xll.EPMOlapMemberO("[AM2MARKETDESCR].[].[CZECH REPUBLIC]","","CZECH REPUBLIC","","000")</f>
        <v>CZECH REPUBLIC</v>
      </c>
      <c r="E208" s="2" t="str">
        <f xml:space="preserve"> _xll.EPMOlapMemberO("[AM2PARENTCUSTGROUP].[].[__NULL]","","(None)","","000")</f>
        <v>(None)</v>
      </c>
      <c r="F208" s="2" t="str">
        <f xml:space="preserve"> _xll.EPMOlapMemberO("[KEY_FIGURES].[].[CONFIRMEDPRODUCTION]","","Production Order","","000")</f>
        <v>Production Order</v>
      </c>
      <c r="AS208" s="2">
        <v>156.767</v>
      </c>
      <c r="AV208" s="2">
        <v>174</v>
      </c>
      <c r="AY208" s="2">
        <v>246.5</v>
      </c>
    </row>
    <row r="209" spans="1:52" x14ac:dyDescent="0.35">
      <c r="A209" s="2" t="str">
        <f xml:space="preserve"> _xll.EPMOlapMemberO("[LOCID].[].[Munich plant]","","Munich plant","","000")</f>
        <v>Munich plant</v>
      </c>
      <c r="B209" s="2" t="str">
        <f xml:space="preserve"> _xll.EPMOlapMemberO("[PRDID].[].[999-65805-0093]","","999-65805-0093","","000")</f>
        <v>999-65805-0093</v>
      </c>
      <c r="C209" s="2" t="str">
        <f xml:space="preserve"> _xll.EPMOlapMemberO("[BRAND].[].[ R1]",""," R1","","000")</f>
        <v xml:space="preserve"> R1</v>
      </c>
      <c r="D209" s="2" t="str">
        <f xml:space="preserve"> _xll.EPMOlapMemberO("[AM2MARKETDESCR].[].[POLAND]","","POLAND","","000")</f>
        <v>POLAND</v>
      </c>
      <c r="E209" s="2" t="str">
        <f xml:space="preserve"> _xll.EPMOlapMemberO("[AM2PARENTCUSTGROUP].[].[__NULL]","","(None)","","000")</f>
        <v>(None)</v>
      </c>
      <c r="F209" s="2" t="str">
        <f xml:space="preserve"> _xll.EPMOlapMemberO("[KEY_FIGURES].[].[INITIALINVENTORY]","","Stock","","000")</f>
        <v>Stock</v>
      </c>
      <c r="AQ209" s="2">
        <v>907.2</v>
      </c>
    </row>
    <row r="210" spans="1:52" x14ac:dyDescent="0.35">
      <c r="A210" s="2" t="str">
        <f xml:space="preserve"> _xll.EPMOlapMemberO("[LOCID].[].[Munich plant]","","Munich plant","","000")</f>
        <v>Munich plant</v>
      </c>
      <c r="B210" s="2" t="str">
        <f xml:space="preserve"> _xll.EPMOlapMemberO("[PRDID].[].[999-65805-0093]","","999-65805-0093","","000")</f>
        <v>999-65805-0093</v>
      </c>
      <c r="C210" s="2" t="str">
        <f xml:space="preserve"> _xll.EPMOlapMemberO("[BRAND].[].[ R1]",""," R1","","000")</f>
        <v xml:space="preserve"> R1</v>
      </c>
      <c r="D210" s="2" t="str">
        <f xml:space="preserve"> _xll.EPMOlapMemberO("[AM2MARKETDESCR].[].[POLAND]","","POLAND","","000")</f>
        <v>POLAND</v>
      </c>
      <c r="E210" s="2" t="str">
        <f xml:space="preserve"> _xll.EPMOlapMemberO("[AM2PARENTCUSTGROUP].[].[__NULL]","","(None)","","000")</f>
        <v>(None)</v>
      </c>
      <c r="F210" s="2" t="str">
        <f xml:space="preserve"> _xll.EPMOlapMemberO("[KEY_FIGURES].[].[CONFIRMEDPRODUCTION]","","Production Order","","000")</f>
        <v>Production Order</v>
      </c>
      <c r="AS210" s="2">
        <v>507.5</v>
      </c>
      <c r="AU210" s="2">
        <v>87</v>
      </c>
      <c r="AV210" s="2">
        <v>928</v>
      </c>
      <c r="AY210" s="2">
        <v>725</v>
      </c>
    </row>
    <row r="211" spans="1:52" x14ac:dyDescent="0.35">
      <c r="A211" s="2" t="str">
        <f xml:space="preserve"> _xll.EPMOlapMemberO("[LOCID].[].[Munich plant]","","Munich plant","","000")</f>
        <v>Munich plant</v>
      </c>
      <c r="B211" s="2" t="str">
        <f xml:space="preserve"> _xll.EPMOlapMemberO("[PRDID].[].[999-65805-0094]","","999-65805-0094","","000")</f>
        <v>999-65805-0094</v>
      </c>
      <c r="C211" s="2" t="str">
        <f xml:space="preserve"> _xll.EPMOlapMemberO("[BRAND].[].[ R1]",""," R1","","000")</f>
        <v xml:space="preserve"> R1</v>
      </c>
      <c r="D211" s="2" t="str">
        <f xml:space="preserve"> _xll.EPMOlapMemberO("[AM2MARKETDESCR].[].[SPAIN]","","SPAIN","","000")</f>
        <v>SPAIN</v>
      </c>
      <c r="E211" s="2" t="str">
        <f xml:space="preserve"> _xll.EPMOlapMemberO("[AM2PARENTCUSTGROUP].[].[__NULL]","","(None)","","000")</f>
        <v>(None)</v>
      </c>
      <c r="F211" s="2" t="str">
        <f xml:space="preserve"> _xll.EPMOlapMemberO("[KEY_FIGURES].[].[INITIALINVENTORY]","","Stock","","000")</f>
        <v>Stock</v>
      </c>
      <c r="AQ211" s="2">
        <v>1008</v>
      </c>
    </row>
    <row r="212" spans="1:52" x14ac:dyDescent="0.35">
      <c r="A212" s="2" t="str">
        <f xml:space="preserve"> _xll.EPMOlapMemberO("[LOCID].[].[Munich plant]","","Munich plant","","000")</f>
        <v>Munich plant</v>
      </c>
      <c r="B212" s="2" t="str">
        <f xml:space="preserve"> _xll.EPMOlapMemberO("[PRDID].[].[999-65805-0094]","","999-65805-0094","","000")</f>
        <v>999-65805-0094</v>
      </c>
      <c r="C212" s="2" t="str">
        <f xml:space="preserve"> _xll.EPMOlapMemberO("[BRAND].[].[ R1]",""," R1","","000")</f>
        <v xml:space="preserve"> R1</v>
      </c>
      <c r="D212" s="2" t="str">
        <f xml:space="preserve"> _xll.EPMOlapMemberO("[AM2MARKETDESCR].[].[SPAIN]","","SPAIN","","000")</f>
        <v>SPAIN</v>
      </c>
      <c r="E212" s="2" t="str">
        <f xml:space="preserve"> _xll.EPMOlapMemberO("[AM2PARENTCUSTGROUP].[].[__NULL]","","(None)","","000")</f>
        <v>(None)</v>
      </c>
      <c r="F212" s="2" t="str">
        <f xml:space="preserve"> _xll.EPMOlapMemberO("[KEY_FIGURES].[].[CONFIRMEDPRODUCTION]","","Production Order","","000")</f>
        <v>Production Order</v>
      </c>
      <c r="AT212" s="2">
        <v>884.5</v>
      </c>
      <c r="AW212" s="2">
        <v>232</v>
      </c>
    </row>
    <row r="213" spans="1:52" x14ac:dyDescent="0.35">
      <c r="A213" s="2" t="str">
        <f xml:space="preserve"> _xll.EPMOlapMemberO("[LOCID].[].[Munich plant]","","Munich plant","","000")</f>
        <v>Munich plant</v>
      </c>
      <c r="B213" s="2" t="str">
        <f xml:space="preserve"> _xll.EPMOlapMemberO("[PRDID].[].[999-65805-0095]","","999-65805-0095","","000")</f>
        <v>999-65805-0095</v>
      </c>
      <c r="C213" s="2" t="str">
        <f xml:space="preserve"> _xll.EPMOlapMemberO("[BRAND].[].[ R1]",""," R1","","000")</f>
        <v xml:space="preserve"> R1</v>
      </c>
      <c r="D213" s="2" t="str">
        <f xml:space="preserve"> _xll.EPMOlapMemberO("[AM2MARKETDESCR].[].[SPAIN]","","SPAIN","","000")</f>
        <v>SPAIN</v>
      </c>
      <c r="E213" s="2" t="str">
        <f xml:space="preserve"> _xll.EPMOlapMemberO("[AM2PARENTCUSTGROUP].[].[__NULL]","","(None)","","000")</f>
        <v>(None)</v>
      </c>
      <c r="F213" s="2" t="str">
        <f xml:space="preserve"> _xll.EPMOlapMemberO("[KEY_FIGURES].[].[CONFIRMEDPRODUCTION]","","Production Order","","000")</f>
        <v>Production Order</v>
      </c>
      <c r="AR213" s="2">
        <v>145</v>
      </c>
      <c r="AU213" s="2">
        <v>72.5</v>
      </c>
      <c r="AW213" s="2">
        <v>290</v>
      </c>
    </row>
    <row r="214" spans="1:52" x14ac:dyDescent="0.35">
      <c r="A214" s="2" t="str">
        <f xml:space="preserve"> _xll.EPMOlapMemberO("[LOCID].[].[Munich plant]","","Munich plant","","000")</f>
        <v>Munich plant</v>
      </c>
      <c r="B214" s="2" t="str">
        <f xml:space="preserve"> _xll.EPMOlapMemberO("[PRDID].[].[999-65805-0096]","","999-65805-0096","","000")</f>
        <v>999-65805-0096</v>
      </c>
      <c r="C214" s="2" t="str">
        <f xml:space="preserve"> _xll.EPMOlapMemberO("[BRAND].[].[ R1]",""," R1","","000")</f>
        <v xml:space="preserve"> R1</v>
      </c>
      <c r="D214" s="2" t="str">
        <f xml:space="preserve"> _xll.EPMOlapMemberO("[AM2MARKETDESCR].[].[GERMANY]","","GERMANY","","000")</f>
        <v>GERMANY</v>
      </c>
      <c r="E214" s="2" t="str">
        <f xml:space="preserve"> _xll.EPMOlapMemberO("[AM2PARENTCUSTGROUP].[].[__NULL]","","(None)","","000")</f>
        <v>(None)</v>
      </c>
      <c r="F214" s="2" t="str">
        <f xml:space="preserve"> _xll.EPMOlapMemberO("[KEY_FIGURES].[].[INITIALINVENTORY]","","Stock","","000")</f>
        <v>Stock</v>
      </c>
      <c r="AQ214" s="2">
        <v>705.6</v>
      </c>
    </row>
    <row r="215" spans="1:52" x14ac:dyDescent="0.35">
      <c r="A215" s="2" t="str">
        <f xml:space="preserve"> _xll.EPMOlapMemberO("[LOCID].[].[Munich plant]","","Munich plant","","000")</f>
        <v>Munich plant</v>
      </c>
      <c r="B215" s="2" t="str">
        <f xml:space="preserve"> _xll.EPMOlapMemberO("[PRDID].[].[999-65805-0096]","","999-65805-0096","","000")</f>
        <v>999-65805-0096</v>
      </c>
      <c r="C215" s="2" t="str">
        <f xml:space="preserve"> _xll.EPMOlapMemberO("[BRAND].[].[ R1]",""," R1","","000")</f>
        <v xml:space="preserve"> R1</v>
      </c>
      <c r="D215" s="2" t="str">
        <f xml:space="preserve"> _xll.EPMOlapMemberO("[AM2MARKETDESCR].[].[GERMANY]","","GERMANY","","000")</f>
        <v>GERMANY</v>
      </c>
      <c r="E215" s="2" t="str">
        <f xml:space="preserve"> _xll.EPMOlapMemberO("[AM2PARENTCUSTGROUP].[].[__NULL]","","(None)","","000")</f>
        <v>(None)</v>
      </c>
      <c r="F215" s="2" t="str">
        <f xml:space="preserve"> _xll.EPMOlapMemberO("[KEY_FIGURES].[].[CONFIRMEDPRODUCTION]","","Production Order","","000")</f>
        <v>Production Order</v>
      </c>
      <c r="AS215" s="2">
        <v>903.9</v>
      </c>
      <c r="AV215" s="2">
        <v>246.5</v>
      </c>
    </row>
    <row r="216" spans="1:52" x14ac:dyDescent="0.35">
      <c r="A216" s="2" t="str">
        <f xml:space="preserve"> _xll.EPMOlapMemberO("[LOCID].[].[Munich plant]","","Munich plant","","000")</f>
        <v>Munich plant</v>
      </c>
      <c r="B216" s="2" t="str">
        <f xml:space="preserve"> _xll.EPMOlapMemberO("[PRDID].[].[999-65805-0097]","","999-65805-0097","","000")</f>
        <v>999-65805-0097</v>
      </c>
      <c r="C216" s="2" t="str">
        <f xml:space="preserve"> _xll.EPMOlapMemberO("[BRAND].[].[ R1]",""," R1","","000")</f>
        <v xml:space="preserve"> R1</v>
      </c>
      <c r="D216" s="2" t="str">
        <f xml:space="preserve"> _xll.EPMOlapMemberO("[AM2MARKETDESCR].[].[GERMANY]","","GERMANY","","000")</f>
        <v>GERMANY</v>
      </c>
      <c r="E216" s="2" t="str">
        <f xml:space="preserve"> _xll.EPMOlapMemberO("[AM2PARENTCUSTGROUP].[].[__NULL]","","(None)","","000")</f>
        <v>(None)</v>
      </c>
      <c r="F216" s="2" t="str">
        <f xml:space="preserve"> _xll.EPMOlapMemberO("[KEY_FIGURES].[].[INITIALINVENTORY]","","Stock","","000")</f>
        <v>Stock</v>
      </c>
      <c r="AQ216" s="2">
        <v>6048</v>
      </c>
    </row>
    <row r="217" spans="1:52" x14ac:dyDescent="0.35">
      <c r="A217" s="2" t="str">
        <f xml:space="preserve"> _xll.EPMOlapMemberO("[LOCID].[].[Munich plant]","","Munich plant","","000")</f>
        <v>Munich plant</v>
      </c>
      <c r="B217" s="2" t="str">
        <f xml:space="preserve"> _xll.EPMOlapMemberO("[PRDID].[].[999-65805-0097]","","999-65805-0097","","000")</f>
        <v>999-65805-0097</v>
      </c>
      <c r="C217" s="2" t="str">
        <f xml:space="preserve"> _xll.EPMOlapMemberO("[BRAND].[].[ R1]",""," R1","","000")</f>
        <v xml:space="preserve"> R1</v>
      </c>
      <c r="D217" s="2" t="str">
        <f xml:space="preserve"> _xll.EPMOlapMemberO("[AM2MARKETDESCR].[].[GERMANY]","","GERMANY","","000")</f>
        <v>GERMANY</v>
      </c>
      <c r="E217" s="2" t="str">
        <f xml:space="preserve"> _xll.EPMOlapMemberO("[AM2PARENTCUSTGROUP].[].[__NULL]","","(None)","","000")</f>
        <v>(None)</v>
      </c>
      <c r="F217" s="2" t="str">
        <f xml:space="preserve"> _xll.EPMOlapMemberO("[KEY_FIGURES].[].[CONFIRMEDPRODUCTION]","","Production Order","","000")</f>
        <v>Production Order</v>
      </c>
      <c r="AS217" s="2">
        <v>6000</v>
      </c>
      <c r="AT217" s="2">
        <v>2365</v>
      </c>
      <c r="AW217" s="2">
        <v>667</v>
      </c>
    </row>
    <row r="218" spans="1:52" x14ac:dyDescent="0.35">
      <c r="A218" s="2" t="str">
        <f xml:space="preserve"> _xll.EPMOlapMemberO("[LOCID].[].[Munich plant]","","Munich plant","","000")</f>
        <v>Munich plant</v>
      </c>
      <c r="B218" s="2" t="str">
        <f xml:space="preserve"> _xll.EPMOlapMemberO("[PRDID].[].[999-66332-0019]","","999-66332-0019","","000")</f>
        <v>999-66332-0019</v>
      </c>
      <c r="C218" s="2" t="str">
        <f xml:space="preserve"> _xll.EPMOlapMemberO("[BRAND].[].[ MARS]",""," MARS","","000")</f>
        <v xml:space="preserve"> MARS</v>
      </c>
      <c r="D218" s="2" t="str">
        <f xml:space="preserve"> _xll.EPMOlapMemberO("[AM2MARKETDESCR].[].[POLAND]","","POLAND","","000")</f>
        <v>POLAND</v>
      </c>
      <c r="E218" s="2" t="str">
        <f xml:space="preserve"> _xll.EPMOlapMemberO("[AM2PARENTCUSTGROUP].[].[__NULL]","","(None)","","000")</f>
        <v>(None)</v>
      </c>
      <c r="F218" s="2" t="str">
        <f xml:space="preserve"> _xll.EPMOlapMemberO("[KEY_FIGURES].[].[CONFIRMEDPRODUCTION]","","Production Order","","000")</f>
        <v>Production Order</v>
      </c>
      <c r="AR218" s="2">
        <v>174</v>
      </c>
      <c r="AU218" s="2">
        <v>29</v>
      </c>
      <c r="AV218" s="2">
        <v>130.5</v>
      </c>
      <c r="AY218" s="2">
        <v>43.5</v>
      </c>
    </row>
    <row r="219" spans="1:52" x14ac:dyDescent="0.35">
      <c r="A219" s="2" t="str">
        <f xml:space="preserve"> _xll.EPMOlapMemberO("[LOCID].[].[Munich plant]","","Munich plant","","000")</f>
        <v>Munich plant</v>
      </c>
      <c r="B219" s="2" t="str">
        <f xml:space="preserve"> _xll.EPMOlapMemberO("[PRDID].[].[999-66332-0020]","","999-66332-0020","","000")</f>
        <v>999-66332-0020</v>
      </c>
      <c r="C219" s="2" t="str">
        <f xml:space="preserve"> _xll.EPMOlapMemberO("[BRAND].[].[ MARS]",""," MARS","","000")</f>
        <v xml:space="preserve"> MARS</v>
      </c>
      <c r="D219" s="2" t="str">
        <f xml:space="preserve"> _xll.EPMOlapMemberO("[AM2MARKETDESCR].[].[POLAND]","","POLAND","","000")</f>
        <v>POLAND</v>
      </c>
      <c r="E219" s="2" t="str">
        <f xml:space="preserve"> _xll.EPMOlapMemberO("[AM2PARENTCUSTGROUP].[].[__NULL]","","(None)","","000")</f>
        <v>(None)</v>
      </c>
      <c r="F219" s="2" t="str">
        <f xml:space="preserve"> _xll.EPMOlapMemberO("[KEY_FIGURES].[].[CONFIRMEDPRODUCTION]","","Production Order","","000")</f>
        <v>Production Order</v>
      </c>
      <c r="AR219" s="2">
        <v>174</v>
      </c>
      <c r="AU219" s="2">
        <v>29</v>
      </c>
      <c r="AV219" s="2">
        <v>145</v>
      </c>
      <c r="AY219" s="2">
        <v>58</v>
      </c>
    </row>
    <row r="220" spans="1:52" x14ac:dyDescent="0.35">
      <c r="A220" s="2" t="str">
        <f xml:space="preserve"> _xll.EPMOlapMemberO("[LOCID].[].[Munich plant]","","Munich plant","","000")</f>
        <v>Munich plant</v>
      </c>
      <c r="B220" s="2" t="str">
        <f xml:space="preserve"> _xll.EPMOlapMemberO("[PRDID].[].[999-66338-0256]","","999-66338-0256","","000")</f>
        <v>999-66338-0256</v>
      </c>
      <c r="C220" s="2" t="str">
        <f xml:space="preserve"> _xll.EPMOlapMemberO("[BRAND].[].[ JPS]",""," JPS","","000")</f>
        <v xml:space="preserve"> JPS</v>
      </c>
      <c r="D220" s="2" t="str">
        <f xml:space="preserve"> _xll.EPMOlapMemberO("[AM2MARKETDESCR].[].[SPAIN]","","SPAIN","","000")</f>
        <v>SPAIN</v>
      </c>
      <c r="E220" s="2" t="str">
        <f xml:space="preserve"> _xll.EPMOlapMemberO("[AM2PARENTCUSTGROUP].[].[__NULL]","","(None)","","000")</f>
        <v>(None)</v>
      </c>
      <c r="F220" s="2" t="str">
        <f xml:space="preserve"> _xll.EPMOlapMemberO("[KEY_FIGURES].[].[CONFIRMEDPRODUCTION]","","Production Order","","000")</f>
        <v>Production Order</v>
      </c>
      <c r="AV220" s="2">
        <v>125</v>
      </c>
    </row>
    <row r="221" spans="1:52" x14ac:dyDescent="0.35">
      <c r="A221" s="2" t="str">
        <f xml:space="preserve"> _xll.EPMOlapMemberO("[LOCID].[].[Munich plant]","","Munich plant","","000")</f>
        <v>Munich plant</v>
      </c>
      <c r="B221" s="2" t="str">
        <f xml:space="preserve"> _xll.EPMOlapMemberO("[PRDID].[].[999-66532-0011]","","999-66532-0011","","000")</f>
        <v>999-66532-0011</v>
      </c>
      <c r="C221" s="2" t="str">
        <f xml:space="preserve"> _xll.EPMOlapMemberO("[BRAND].[].[ NOBEL]",""," NOBEL","","000")</f>
        <v xml:space="preserve"> NOBEL</v>
      </c>
      <c r="D221" s="2" t="str">
        <f xml:space="preserve"> _xll.EPMOlapMemberO("[AM2MARKETDESCR].[].[SPAIN]","","SPAIN","","000")</f>
        <v>SPAIN</v>
      </c>
      <c r="E221" s="2" t="str">
        <f xml:space="preserve"> _xll.EPMOlapMemberO("[AM2PARENTCUSTGROUP].[].[__NULL]","","(None)","","000")</f>
        <v>(None)</v>
      </c>
      <c r="F221" s="2" t="str">
        <f xml:space="preserve"> _xll.EPMOlapMemberO("[KEY_FIGURES].[].[CONFIRMEDPRODUCTION]","","Production Order","","000")</f>
        <v>Production Order</v>
      </c>
      <c r="AR221" s="2">
        <v>2184</v>
      </c>
      <c r="AU221" s="2">
        <v>399.13</v>
      </c>
      <c r="AW221" s="2">
        <v>903.91300000000001</v>
      </c>
      <c r="AY221" s="2">
        <v>1021.304</v>
      </c>
    </row>
    <row r="222" spans="1:52" x14ac:dyDescent="0.35">
      <c r="A222" s="2" t="str">
        <f xml:space="preserve"> _xll.EPMOlapMemberO("[LOCID].[].[Munich plant]","","Munich plant","","000")</f>
        <v>Munich plant</v>
      </c>
      <c r="B222" s="2" t="str">
        <f xml:space="preserve"> _xll.EPMOlapMemberO("[PRDID].[].[999-66736-0069]","","999-66736-0069","","000")</f>
        <v>999-66736-0069</v>
      </c>
      <c r="C222" s="2" t="str">
        <f xml:space="preserve"> _xll.EPMOlapMemberO("[BRAND].[].[ L&amp;B]",""," L&amp;B","","000")</f>
        <v xml:space="preserve"> L&amp;B</v>
      </c>
      <c r="D222" s="2" t="str">
        <f xml:space="preserve"> _xll.EPMOlapMemberO("[AM2MARKETDESCR].[].[HWDF]","","HWDF","","000")</f>
        <v>HWDF</v>
      </c>
      <c r="E222" s="2" t="str">
        <f xml:space="preserve"> _xll.EPMOlapMemberO("[AM2PARENTCUSTGROUP].[].[__NULL]","","(None)","","000")</f>
        <v>(None)</v>
      </c>
      <c r="F222" s="2" t="str">
        <f xml:space="preserve"> _xll.EPMOlapMemberO("[KEY_FIGURES].[].[CONFIRMEDPRODUCTION]","","Production Order","","000")</f>
        <v>Production Order</v>
      </c>
      <c r="AT222" s="2">
        <v>175</v>
      </c>
      <c r="AW222" s="2">
        <v>595</v>
      </c>
      <c r="AZ222" s="2">
        <v>485</v>
      </c>
    </row>
    <row r="223" spans="1:52" x14ac:dyDescent="0.35">
      <c r="A223" s="2" t="str">
        <f xml:space="preserve"> _xll.EPMOlapMemberO("[LOCID].[].[Munich plant]","","Munich plant","","000")</f>
        <v>Munich plant</v>
      </c>
      <c r="B223" s="2" t="str">
        <f xml:space="preserve"> _xll.EPMOlapMemberO("[PRDID].[].[999-66736-0137]","","999-66736-0137","","000")</f>
        <v>999-66736-0137</v>
      </c>
      <c r="C223" s="2" t="str">
        <f xml:space="preserve"> _xll.EPMOlapMemberO("[BRAND].[].[ L&amp;B]",""," L&amp;B","","000")</f>
        <v xml:space="preserve"> L&amp;B</v>
      </c>
      <c r="D223" s="2" t="str">
        <f xml:space="preserve"> _xll.EPMOlapMemberO("[AM2MARKETDESCR].[].[GREECE]","","GREECE","","000")</f>
        <v>GREECE</v>
      </c>
      <c r="E223" s="2" t="str">
        <f xml:space="preserve"> _xll.EPMOlapMemberO("[AM2PARENTCUSTGROUP].[].[__NULL]","","(None)","","000")</f>
        <v>(None)</v>
      </c>
      <c r="F223" s="2" t="str">
        <f xml:space="preserve"> _xll.EPMOlapMemberO("[KEY_FIGURES].[].[CONFIRMEDPRODUCTION]","","Production Order","","000")</f>
        <v>Production Order</v>
      </c>
      <c r="AT223" s="2">
        <v>10</v>
      </c>
    </row>
    <row r="224" spans="1:52" x14ac:dyDescent="0.35">
      <c r="A224" s="2" t="str">
        <f xml:space="preserve"> _xll.EPMOlapMemberO("[LOCID].[].[Munich plant]","","Munich plant","","000")</f>
        <v>Munich plant</v>
      </c>
      <c r="B224" s="2" t="str">
        <f xml:space="preserve"> _xll.EPMOlapMemberO("[PRDID].[].[999-66736-0171]","","999-66736-0171","","000")</f>
        <v>999-66736-0171</v>
      </c>
      <c r="C224" s="2" t="str">
        <f xml:space="preserve"> _xll.EPMOlapMemberO("[BRAND].[].[ L&amp;B]",""," L&amp;B","","000")</f>
        <v xml:space="preserve"> L&amp;B</v>
      </c>
      <c r="D224" s="2" t="str">
        <f xml:space="preserve"> _xll.EPMOlapMemberO("[AM2MARKETDESCR].[].[HWDF]","","HWDF","","000")</f>
        <v>HWDF</v>
      </c>
      <c r="E224" s="2" t="str">
        <f xml:space="preserve"> _xll.EPMOlapMemberO("[AM2PARENTCUSTGROUP].[].[__NULL]","","(None)","","000")</f>
        <v>(None)</v>
      </c>
      <c r="F224" s="2" t="str">
        <f xml:space="preserve"> _xll.EPMOlapMemberO("[KEY_FIGURES].[].[CONFIRMEDPRODUCTION]","","Production Order","","000")</f>
        <v>Production Order</v>
      </c>
      <c r="AW224" s="2">
        <v>35</v>
      </c>
      <c r="AZ224" s="2">
        <v>47.5</v>
      </c>
    </row>
    <row r="225" spans="1:52" x14ac:dyDescent="0.35">
      <c r="A225" s="2" t="str">
        <f xml:space="preserve"> _xll.EPMOlapMemberO("[LOCID].[].[Munich plant]","","Munich plant","","000")</f>
        <v>Munich plant</v>
      </c>
      <c r="B225" s="2" t="str">
        <f xml:space="preserve"> _xll.EPMOlapMemberO("[PRDID].[].[999-66736-0172]","","999-66736-0172","","000")</f>
        <v>999-66736-0172</v>
      </c>
      <c r="C225" s="2" t="str">
        <f xml:space="preserve"> _xll.EPMOlapMemberO("[BRAND].[].[ L&amp;B]",""," L&amp;B","","000")</f>
        <v xml:space="preserve"> L&amp;B</v>
      </c>
      <c r="D225" s="2" t="str">
        <f xml:space="preserve"> _xll.EPMOlapMemberO("[AM2MARKETDESCR].[].[HWDF]","","HWDF","","000")</f>
        <v>HWDF</v>
      </c>
      <c r="E225" s="2" t="str">
        <f xml:space="preserve"> _xll.EPMOlapMemberO("[AM2PARENTCUSTGROUP].[].[__NULL]","","(None)","","000")</f>
        <v>(None)</v>
      </c>
      <c r="F225" s="2" t="str">
        <f xml:space="preserve"> _xll.EPMOlapMemberO("[KEY_FIGURES].[].[INITIALINVENTORY]","","Stock","","000")</f>
        <v>Stock</v>
      </c>
      <c r="AQ225" s="2">
        <v>14.4</v>
      </c>
    </row>
    <row r="226" spans="1:52" x14ac:dyDescent="0.35">
      <c r="A226" s="2" t="str">
        <f xml:space="preserve"> _xll.EPMOlapMemberO("[LOCID].[].[Munich plant]","","Munich plant","","000")</f>
        <v>Munich plant</v>
      </c>
      <c r="B226" s="2" t="str">
        <f xml:space="preserve"> _xll.EPMOlapMemberO("[PRDID].[].[999-66736-0172]","","999-66736-0172","","000")</f>
        <v>999-66736-0172</v>
      </c>
      <c r="C226" s="2" t="str">
        <f xml:space="preserve"> _xll.EPMOlapMemberO("[BRAND].[].[ L&amp;B]",""," L&amp;B","","000")</f>
        <v xml:space="preserve"> L&amp;B</v>
      </c>
      <c r="D226" s="2" t="str">
        <f xml:space="preserve"> _xll.EPMOlapMemberO("[AM2MARKETDESCR].[].[HWDF]","","HWDF","","000")</f>
        <v>HWDF</v>
      </c>
      <c r="E226" s="2" t="str">
        <f xml:space="preserve"> _xll.EPMOlapMemberO("[AM2PARENTCUSTGROUP].[].[__NULL]","","(None)","","000")</f>
        <v>(None)</v>
      </c>
      <c r="F226" s="2" t="str">
        <f xml:space="preserve"> _xll.EPMOlapMemberO("[KEY_FIGURES].[].[CONFIRMEDPRODUCTION]","","Production Order","","000")</f>
        <v>Production Order</v>
      </c>
      <c r="AT226" s="2">
        <v>79</v>
      </c>
      <c r="AU226" s="2">
        <v>77.5</v>
      </c>
      <c r="AW226" s="2">
        <v>245</v>
      </c>
      <c r="AY226" s="2">
        <v>75</v>
      </c>
      <c r="AZ226" s="2">
        <v>460</v>
      </c>
    </row>
    <row r="227" spans="1:52" x14ac:dyDescent="0.35">
      <c r="A227" s="2" t="str">
        <f xml:space="preserve"> _xll.EPMOlapMemberO("[LOCID].[].[Munich plant]","","Munich plant","","000")</f>
        <v>Munich plant</v>
      </c>
      <c r="B227" s="2" t="str">
        <f xml:space="preserve"> _xll.EPMOlapMemberO("[PRDID].[].[999-66736-0177]","","999-66736-0177","","000")</f>
        <v>999-66736-0177</v>
      </c>
      <c r="C227" s="2" t="str">
        <f xml:space="preserve"> _xll.EPMOlapMemberO("[BRAND].[].[ L&amp;B]",""," L&amp;B","","000")</f>
        <v xml:space="preserve"> L&amp;B</v>
      </c>
      <c r="D227" s="2" t="str">
        <f xml:space="preserve"> _xll.EPMOlapMemberO("[AM2MARKETDESCR].[].[GREECE]","","GREECE","","000")</f>
        <v>GREECE</v>
      </c>
      <c r="E227" s="2" t="str">
        <f xml:space="preserve"> _xll.EPMOlapMemberO("[AM2PARENTCUSTGROUP].[].[__NULL]","","(None)","","000")</f>
        <v>(None)</v>
      </c>
      <c r="F227" s="2" t="str">
        <f xml:space="preserve"> _xll.EPMOlapMemberO("[KEY_FIGURES].[].[CONFIRMEDPRODUCTION]","","Production Order","","000")</f>
        <v>Production Order</v>
      </c>
      <c r="AY227" s="2">
        <v>110</v>
      </c>
    </row>
    <row r="228" spans="1:52" x14ac:dyDescent="0.35">
      <c r="A228" s="2" t="str">
        <f xml:space="preserve"> _xll.EPMOlapMemberO("[LOCID].[].[Munich plant]","","Munich plant","","000")</f>
        <v>Munich plant</v>
      </c>
      <c r="B228" s="2" t="str">
        <f xml:space="preserve"> _xll.EPMOlapMemberO("[PRDID].[].[999-66736-0179]","","999-66736-0179","","000")</f>
        <v>999-66736-0179</v>
      </c>
      <c r="C228" s="2" t="str">
        <f xml:space="preserve"> _xll.EPMOlapMemberO("[BRAND].[].[ L&amp;B]",""," L&amp;B","","000")</f>
        <v xml:space="preserve"> L&amp;B</v>
      </c>
      <c r="D228" s="2" t="str">
        <f xml:space="preserve"> _xll.EPMOlapMemberO("[AM2MARKETDESCR].[].[PORTUGAL]","","PORTUGAL","","000")</f>
        <v>PORTUGAL</v>
      </c>
      <c r="E228" s="2" t="str">
        <f xml:space="preserve"> _xll.EPMOlapMemberO("[AM2PARENTCUSTGROUP].[].[__NULL]","","(None)","","000")</f>
        <v>(None)</v>
      </c>
      <c r="F228" s="2" t="str">
        <f xml:space="preserve"> _xll.EPMOlapMemberO("[KEY_FIGURES].[].[CONFIRMEDPRODUCTION]","","Production Order","","000")</f>
        <v>Production Order</v>
      </c>
      <c r="AR228" s="2">
        <v>100.8</v>
      </c>
      <c r="AV228" s="2">
        <v>30</v>
      </c>
      <c r="AY228" s="2">
        <v>25</v>
      </c>
    </row>
    <row r="229" spans="1:52" x14ac:dyDescent="0.35">
      <c r="A229" s="2" t="str">
        <f xml:space="preserve"> _xll.EPMOlapMemberO("[LOCID].[].[Munich plant]","","Munich plant","","000")</f>
        <v>Munich plant</v>
      </c>
      <c r="B229" s="2" t="str">
        <f xml:space="preserve"> _xll.EPMOlapMemberO("[PRDID].[].[999-66736-0180]","","999-66736-0180","","000")</f>
        <v>999-66736-0180</v>
      </c>
      <c r="C229" s="2" t="str">
        <f xml:space="preserve"> _xll.EPMOlapMemberO("[BRAND].[].[ L&amp;B]",""," L&amp;B","","000")</f>
        <v xml:space="preserve"> L&amp;B</v>
      </c>
      <c r="D229" s="2" t="str">
        <f xml:space="preserve"> _xll.EPMOlapMemberO("[AM2MARKETDESCR].[].[CYPRUS]","","CYPRUS","","000")</f>
        <v>CYPRUS</v>
      </c>
      <c r="E229" s="2" t="str">
        <f xml:space="preserve"> _xll.EPMOlapMemberO("[AM2PARENTCUSTGROUP].[].[__NULL]","","(None)","","000")</f>
        <v>(None)</v>
      </c>
      <c r="F229" s="2" t="str">
        <f xml:space="preserve"> _xll.EPMOlapMemberO("[KEY_FIGURES].[].[CONFIRMEDPRODUCTION]","","Production Order","","000")</f>
        <v>Production Order</v>
      </c>
      <c r="AR229" s="2">
        <v>100.8</v>
      </c>
      <c r="AT229" s="2">
        <v>81.5</v>
      </c>
      <c r="AW229" s="2">
        <v>33.5</v>
      </c>
      <c r="AZ229" s="2">
        <v>136.5</v>
      </c>
    </row>
    <row r="230" spans="1:52" x14ac:dyDescent="0.35">
      <c r="A230" s="2" t="str">
        <f xml:space="preserve"> _xll.EPMOlapMemberO("[LOCID].[].[Munich plant]","","Munich plant","","000")</f>
        <v>Munich plant</v>
      </c>
      <c r="B230" s="2" t="str">
        <f xml:space="preserve"> _xll.EPMOlapMemberO("[PRDID].[].[999-66736-0182]","","999-66736-0182","","000")</f>
        <v>999-66736-0182</v>
      </c>
      <c r="C230" s="2" t="str">
        <f xml:space="preserve"> _xll.EPMOlapMemberO("[BRAND].[].[ L&amp;B]",""," L&amp;B","","000")</f>
        <v xml:space="preserve"> L&amp;B</v>
      </c>
      <c r="D230" s="2" t="str">
        <f xml:space="preserve"> _xll.EPMOlapMemberO("[AM2MARKETDESCR].[].[SPAIN]","","SPAIN","","000")</f>
        <v>SPAIN</v>
      </c>
      <c r="E230" s="2" t="str">
        <f xml:space="preserve"> _xll.EPMOlapMemberO("[AM2PARENTCUSTGROUP].[].[__NULL]","","(None)","","000")</f>
        <v>(None)</v>
      </c>
      <c r="F230" s="2" t="str">
        <f xml:space="preserve"> _xll.EPMOlapMemberO("[KEY_FIGURES].[].[CONFIRMEDPRODUCTION]","","Production Order","","000")</f>
        <v>Production Order</v>
      </c>
      <c r="AR230" s="2">
        <v>35</v>
      </c>
      <c r="AV230" s="2">
        <v>65</v>
      </c>
      <c r="AY230" s="2">
        <v>320</v>
      </c>
      <c r="AZ230" s="2">
        <v>155</v>
      </c>
    </row>
    <row r="231" spans="1:52" x14ac:dyDescent="0.35">
      <c r="A231" s="2" t="str">
        <f xml:space="preserve"> _xll.EPMOlapMemberO("[LOCID].[].[Munich plant]","","Munich plant","","000")</f>
        <v>Munich plant</v>
      </c>
      <c r="B231" s="2" t="str">
        <f xml:space="preserve"> _xll.EPMOlapMemberO("[PRDID].[].[999-66736-0184]","","999-66736-0184","","000")</f>
        <v>999-66736-0184</v>
      </c>
      <c r="C231" s="2" t="str">
        <f xml:space="preserve"> _xll.EPMOlapMemberO("[BRAND].[].[ L&amp;B]",""," L&amp;B","","000")</f>
        <v xml:space="preserve"> L&amp;B</v>
      </c>
      <c r="D231" s="2" t="str">
        <f xml:space="preserve"> _xll.EPMOlapMemberO("[AM2MARKETDESCR].[].[PORTUGAL]","","PORTUGAL","","000")</f>
        <v>PORTUGAL</v>
      </c>
      <c r="E231" s="2" t="str">
        <f xml:space="preserve"> _xll.EPMOlapMemberO("[AM2PARENTCUSTGROUP].[].[__NULL]","","(None)","","000")</f>
        <v>(None)</v>
      </c>
      <c r="F231" s="2" t="str">
        <f xml:space="preserve"> _xll.EPMOlapMemberO("[KEY_FIGURES].[].[CONFIRMEDPRODUCTION]","","Production Order","","000")</f>
        <v>Production Order</v>
      </c>
      <c r="AT231" s="2">
        <v>45</v>
      </c>
      <c r="AU231" s="2">
        <v>105</v>
      </c>
      <c r="AW231" s="2">
        <v>90</v>
      </c>
      <c r="AX231" s="2">
        <v>35</v>
      </c>
      <c r="AZ231" s="2">
        <v>350</v>
      </c>
    </row>
    <row r="232" spans="1:52" x14ac:dyDescent="0.35">
      <c r="A232" s="2" t="str">
        <f xml:space="preserve"> _xll.EPMOlapMemberO("[LOCID].[].[Munich plant]","","Munich plant","","000")</f>
        <v>Munich plant</v>
      </c>
      <c r="B232" s="2" t="str">
        <f xml:space="preserve"> _xll.EPMOlapMemberO("[PRDID].[].[999-66736-0185]","","999-66736-0185","","000")</f>
        <v>999-66736-0185</v>
      </c>
      <c r="C232" s="2" t="str">
        <f xml:space="preserve"> _xll.EPMOlapMemberO("[BRAND].[].[ L&amp;B]",""," L&amp;B","","000")</f>
        <v xml:space="preserve"> L&amp;B</v>
      </c>
      <c r="D232" s="2" t="str">
        <f xml:space="preserve"> _xll.EPMOlapMemberO("[AM2MARKETDESCR].[].[SPAIN]","","SPAIN","","000")</f>
        <v>SPAIN</v>
      </c>
      <c r="E232" s="2" t="str">
        <f xml:space="preserve"> _xll.EPMOlapMemberO("[AM2PARENTCUSTGROUP].[].[__NULL]","","(None)","","000")</f>
        <v>(None)</v>
      </c>
      <c r="F232" s="2" t="str">
        <f xml:space="preserve"> _xll.EPMOlapMemberO("[KEY_FIGURES].[].[CONFIRMEDPRODUCTION]","","Production Order","","000")</f>
        <v>Production Order</v>
      </c>
      <c r="AR232" s="2">
        <v>75</v>
      </c>
      <c r="AT232" s="2">
        <v>35</v>
      </c>
      <c r="AV232" s="2">
        <v>50</v>
      </c>
      <c r="AW232" s="2">
        <v>35</v>
      </c>
      <c r="AZ232" s="2">
        <v>5</v>
      </c>
    </row>
    <row r="233" spans="1:52" x14ac:dyDescent="0.35">
      <c r="A233" s="2" t="str">
        <f xml:space="preserve"> _xll.EPMOlapMemberO("[LOCID].[].[Munich plant]","","Munich plant","","000")</f>
        <v>Munich plant</v>
      </c>
      <c r="B233" s="2" t="str">
        <f xml:space="preserve"> _xll.EPMOlapMemberO("[PRDID].[].[999-66736-0188]","","999-66736-0188","","000")</f>
        <v>999-66736-0188</v>
      </c>
      <c r="C233" s="2" t="str">
        <f xml:space="preserve"> _xll.EPMOlapMemberO("[BRAND].[].[ L&amp;B]",""," L&amp;B","","000")</f>
        <v xml:space="preserve"> L&amp;B</v>
      </c>
      <c r="D233" s="2" t="str">
        <f xml:space="preserve"> _xll.EPMOlapMemberO("[AM2MARKETDESCR].[].[SPAIN]","","SPAIN","","000")</f>
        <v>SPAIN</v>
      </c>
      <c r="E233" s="2" t="str">
        <f xml:space="preserve"> _xll.EPMOlapMemberO("[AM2PARENTCUSTGROUP].[].[__NULL]","","(None)","","000")</f>
        <v>(None)</v>
      </c>
      <c r="F233" s="2" t="str">
        <f xml:space="preserve"> _xll.EPMOlapMemberO("[KEY_FIGURES].[].[CONFIRMEDPRODUCTION]","","Production Order","","000")</f>
        <v>Production Order</v>
      </c>
      <c r="AS233" s="2">
        <v>111.667</v>
      </c>
      <c r="AU233" s="2">
        <v>50</v>
      </c>
      <c r="AW233" s="2">
        <v>65</v>
      </c>
      <c r="AY233" s="2">
        <v>50</v>
      </c>
      <c r="AZ233" s="2">
        <v>75</v>
      </c>
    </row>
    <row r="234" spans="1:52" x14ac:dyDescent="0.35">
      <c r="A234" s="2" t="str">
        <f xml:space="preserve"> _xll.EPMOlapMemberO("[LOCID].[].[Munich plant]","","Munich plant","","000")</f>
        <v>Munich plant</v>
      </c>
      <c r="B234" s="2" t="str">
        <f xml:space="preserve"> _xll.EPMOlapMemberO("[PRDID].[].[999-66975-0007]","","999-66975-0007","","000")</f>
        <v>999-66975-0007</v>
      </c>
      <c r="C234" s="2" t="str">
        <f xml:space="preserve"> _xll.EPMOlapMemberO("[BRAND].[].[ GAULOISES BLONDES]",""," GAULOISES BLONDES","","000")</f>
        <v xml:space="preserve"> GAULOISES BLONDES</v>
      </c>
      <c r="D234" s="2" t="str">
        <f xml:space="preserve"> _xll.EPMOlapMemberO("[AM2MARKETDESCR].[].[UNITED ARABIC EMIRATES]","","UNITED ARABIC EMIRATES","","000")</f>
        <v>UNITED ARABIC EMIRATES</v>
      </c>
      <c r="E234" s="2" t="str">
        <f xml:space="preserve"> _xll.EPMOlapMemberO("[AM2PARENTCUSTGROUP].[].[__NULL]","","(None)","","000")</f>
        <v>(None)</v>
      </c>
      <c r="F234" s="2" t="str">
        <f xml:space="preserve"> _xll.EPMOlapMemberO("[KEY_FIGURES].[].[CONFIRMEDPRODUCTION]","","Production Order","","000")</f>
        <v>Production Order</v>
      </c>
      <c r="AW234" s="2">
        <v>67.400000000000006</v>
      </c>
    </row>
    <row r="235" spans="1:52" x14ac:dyDescent="0.35">
      <c r="A235" s="2" t="str">
        <f xml:space="preserve"> _xll.EPMOlapMemberO("[LOCID].[].[Munich plant]","","Munich plant","","000")</f>
        <v>Munich plant</v>
      </c>
      <c r="B235" s="2" t="str">
        <f xml:space="preserve"> _xll.EPMOlapMemberO("[PRDID].[].[999-66975-0008]","","999-66975-0008","","000")</f>
        <v>999-66975-0008</v>
      </c>
      <c r="C235" s="2" t="str">
        <f xml:space="preserve"> _xll.EPMOlapMemberO("[BRAND].[].[ GAULOISES BLONDES]",""," GAULOISES BLONDES","","000")</f>
        <v xml:space="preserve"> GAULOISES BLONDES</v>
      </c>
      <c r="D235" s="2" t="str">
        <f xml:space="preserve"> _xll.EPMOlapMemberO("[AM2MARKETDESCR].[].[UNITED ARABIC EMIRATES]","","UNITED ARABIC EMIRATES","","000")</f>
        <v>UNITED ARABIC EMIRATES</v>
      </c>
      <c r="E235" s="2" t="str">
        <f xml:space="preserve"> _xll.EPMOlapMemberO("[AM2PARENTCUSTGROUP].[].[__NULL]","","(None)","","000")</f>
        <v>(None)</v>
      </c>
      <c r="F235" s="2" t="str">
        <f xml:space="preserve"> _xll.EPMOlapMemberO("[KEY_FIGURES].[].[CONFIRMEDPRODUCTION]","","Production Order","","000")</f>
        <v>Production Order</v>
      </c>
      <c r="AT235" s="2">
        <v>42.65</v>
      </c>
      <c r="AW235" s="2">
        <v>85.8</v>
      </c>
    </row>
    <row r="236" spans="1:52" x14ac:dyDescent="0.35">
      <c r="A236" s="2" t="str">
        <f xml:space="preserve"> _xll.EPMOlapMemberO("[LOCID].[].[Munich plant]","","Munich plant","","000")</f>
        <v>Munich plant</v>
      </c>
      <c r="B236" s="2" t="str">
        <f xml:space="preserve"> _xll.EPMOlapMemberO("[PRDID].[].[999-66975-0009]","","999-66975-0009","","000")</f>
        <v>999-66975-0009</v>
      </c>
      <c r="C236" s="2" t="str">
        <f xml:space="preserve"> _xll.EPMOlapMemberO("[BRAND].[].[ GAULOISES BLONDES]",""," GAULOISES BLONDES","","000")</f>
        <v xml:space="preserve"> GAULOISES BLONDES</v>
      </c>
      <c r="D236" s="2" t="str">
        <f xml:space="preserve"> _xll.EPMOlapMemberO("[AM2MARKETDESCR].[].[UNITED ARABIC EMIRATES]","","UNITED ARABIC EMIRATES","","000")</f>
        <v>UNITED ARABIC EMIRATES</v>
      </c>
      <c r="E236" s="2" t="str">
        <f xml:space="preserve"> _xll.EPMOlapMemberO("[AM2PARENTCUSTGROUP].[].[__NULL]","","(None)","","000")</f>
        <v>(None)</v>
      </c>
      <c r="F236" s="2" t="str">
        <f xml:space="preserve"> _xll.EPMOlapMemberO("[KEY_FIGURES].[].[CONFIRMEDPRODUCTION]","","Production Order","","000")</f>
        <v>Production Order</v>
      </c>
      <c r="AR236" s="2">
        <v>117</v>
      </c>
    </row>
    <row r="237" spans="1:52" x14ac:dyDescent="0.35">
      <c r="A237" s="2" t="str">
        <f xml:space="preserve"> _xll.EPMOlapMemberO("[LOCID].[].[Munich plant]","","Munich plant","","000")</f>
        <v>Munich plant</v>
      </c>
      <c r="B237" s="2" t="str">
        <f xml:space="preserve"> _xll.EPMOlapMemberO("[PRDID].[].[999-66975-0010]","","999-66975-0010","","000")</f>
        <v>999-66975-0010</v>
      </c>
      <c r="C237" s="2" t="str">
        <f xml:space="preserve"> _xll.EPMOlapMemberO("[BRAND].[].[ GAULOISES BLONDES]",""," GAULOISES BLONDES","","000")</f>
        <v xml:space="preserve"> GAULOISES BLONDES</v>
      </c>
      <c r="D237" s="2" t="str">
        <f xml:space="preserve"> _xll.EPMOlapMemberO("[AM2MARKETDESCR].[].[UNITED ARABIC EMIRATES]","","UNITED ARABIC EMIRATES","","000")</f>
        <v>UNITED ARABIC EMIRATES</v>
      </c>
      <c r="E237" s="2" t="str">
        <f xml:space="preserve"> _xll.EPMOlapMemberO("[AM2PARENTCUSTGROUP].[].[__NULL]","","(None)","","000")</f>
        <v>(None)</v>
      </c>
      <c r="F237" s="2" t="str">
        <f xml:space="preserve"> _xll.EPMOlapMemberO("[KEY_FIGURES].[].[CONFIRMEDPRODUCTION]","","Production Order","","000")</f>
        <v>Production Order</v>
      </c>
      <c r="AU237" s="2">
        <v>69</v>
      </c>
      <c r="AX237" s="2">
        <v>86</v>
      </c>
    </row>
    <row r="238" spans="1:52" x14ac:dyDescent="0.35">
      <c r="A238" s="2" t="str">
        <f xml:space="preserve"> _xll.EPMOlapMemberO("[LOCID].[].[Munich plant]","","Munich plant","","000")</f>
        <v>Munich plant</v>
      </c>
      <c r="B238" s="2" t="str">
        <f xml:space="preserve"> _xll.EPMOlapMemberO("[PRDID].[].[999-66975-0011]","","999-66975-0011","","000")</f>
        <v>999-66975-0011</v>
      </c>
      <c r="C238" s="2" t="str">
        <f xml:space="preserve"> _xll.EPMOlapMemberO("[BRAND].[].[ GAULOISES BLONDES]",""," GAULOISES BLONDES","","000")</f>
        <v xml:space="preserve"> GAULOISES BLONDES</v>
      </c>
      <c r="D238" s="2" t="str">
        <f xml:space="preserve"> _xll.EPMOlapMemberO("[AM2MARKETDESCR].[].[UNITED ARABIC EMIRATES]","","UNITED ARABIC EMIRATES","","000")</f>
        <v>UNITED ARABIC EMIRATES</v>
      </c>
      <c r="E238" s="2" t="str">
        <f xml:space="preserve"> _xll.EPMOlapMemberO("[AM2PARENTCUSTGROUP].[].[__NULL]","","(None)","","000")</f>
        <v>(None)</v>
      </c>
      <c r="F238" s="2" t="str">
        <f xml:space="preserve"> _xll.EPMOlapMemberO("[KEY_FIGURES].[].[CONFIRMEDPRODUCTION]","","Production Order","","000")</f>
        <v>Production Order</v>
      </c>
      <c r="AR238" s="2">
        <v>117</v>
      </c>
    </row>
    <row r="239" spans="1:52" x14ac:dyDescent="0.35">
      <c r="A239" s="2" t="str">
        <f xml:space="preserve"> _xll.EPMOlapMemberO("[LOCID].[].[Munich plant]","","Munich plant","","000")</f>
        <v>Munich plant</v>
      </c>
      <c r="B239" s="2" t="str">
        <f xml:space="preserve"> _xll.EPMOlapMemberO("[PRDID].[].[999-67346-0135]","","999-67346-0135","","000")</f>
        <v>999-67346-0135</v>
      </c>
      <c r="C239" s="2" t="str">
        <f xml:space="preserve"> _xll.EPMOlapMemberO("[BRAND].[].[ L&amp;M]",""," L&amp;M","","000")</f>
        <v xml:space="preserve"> L&amp;M</v>
      </c>
      <c r="D239" s="2" t="str">
        <f xml:space="preserve"> _xll.EPMOlapMemberO("[AM2MARKETDESCR].[].[LITHUANIA ]","","LITHUANIA ","","000")</f>
        <v xml:space="preserve">LITHUANIA </v>
      </c>
      <c r="E239" s="2" t="str">
        <f xml:space="preserve"> _xll.EPMOlapMemberO("[AM2PARENTCUSTGROUP].[].[Mondelez]","","Mondelez","","000")</f>
        <v>Mondelez</v>
      </c>
      <c r="F239" s="2" t="str">
        <f xml:space="preserve"> _xll.EPMOlapMemberO("[KEY_FIGURES].[].[AM2ORDERINTAKE]","","Sales Order","","000")</f>
        <v>Sales Order</v>
      </c>
      <c r="AE239" s="2">
        <v>234</v>
      </c>
    </row>
    <row r="240" spans="1:52" x14ac:dyDescent="0.35">
      <c r="A240" s="2" t="str">
        <f xml:space="preserve"> _xll.EPMOlapMemberO("[LOCID].[].[Munich plant]","","Munich plant","","000")</f>
        <v>Munich plant</v>
      </c>
      <c r="B240" s="2" t="str">
        <f xml:space="preserve"> _xll.EPMOlapMemberO("[PRDID].[].[999-67346-0135]","","999-67346-0135","","000")</f>
        <v>999-67346-0135</v>
      </c>
      <c r="C240" s="2" t="str">
        <f xml:space="preserve"> _xll.EPMOlapMemberO("[BRAND].[].[ L&amp;M]",""," L&amp;M","","000")</f>
        <v xml:space="preserve"> L&amp;M</v>
      </c>
      <c r="D240" s="2" t="str">
        <f xml:space="preserve"> _xll.EPMOlapMemberO("[AM2MARKETDESCR].[].[LITHUANIA ]","","LITHUANIA ","","000")</f>
        <v xml:space="preserve">LITHUANIA </v>
      </c>
      <c r="E240" s="2" t="str">
        <f xml:space="preserve"> _xll.EPMOlapMemberO("[AM2PARENTCUSTGROUP].[].[Mondelez]","","Mondelez","","000")</f>
        <v>Mondelez</v>
      </c>
      <c r="F240" s="2" t="str">
        <f xml:space="preserve"> _xll.EPMOlapMemberO("[KEY_FIGURES].[].[AM2ACTUALSHIPMENTS]","","Shipments","","000")</f>
        <v>Shipments</v>
      </c>
      <c r="AE240" s="2">
        <v>234</v>
      </c>
    </row>
    <row r="241" spans="1:52" x14ac:dyDescent="0.35">
      <c r="A241" s="2" t="str">
        <f xml:space="preserve"> _xll.EPMOlapMemberO("[LOCID].[].[Munich plant]","","Munich plant","","000")</f>
        <v>Munich plant</v>
      </c>
      <c r="B241" s="2" t="str">
        <f xml:space="preserve"> _xll.EPMOlapMemberO("[PRDID].[].[999-67463-0022]","","999-67463-0022","","000")</f>
        <v>999-67463-0022</v>
      </c>
      <c r="C241" s="2" t="str">
        <f xml:space="preserve"> _xll.EPMOlapMemberO("[BRAND].[].[ ROUTE 66]",""," ROUTE 66","","000")</f>
        <v xml:space="preserve"> ROUTE 66</v>
      </c>
      <c r="D241" s="2" t="str">
        <f xml:space="preserve"> _xll.EPMOlapMemberO("[AM2MARKETDESCR].[].[CZECH REPUBLIC]","","CZECH REPUBLIC","","000")</f>
        <v>CZECH REPUBLIC</v>
      </c>
      <c r="E241" s="2" t="str">
        <f xml:space="preserve"> _xll.EPMOlapMemberO("[AM2PARENTCUSTGROUP].[].[__NULL]","","(None)","","000")</f>
        <v>(None)</v>
      </c>
      <c r="F241" s="2" t="str">
        <f xml:space="preserve"> _xll.EPMOlapMemberO("[KEY_FIGURES].[].[CONFIRMEDPRODUCTION]","","Production Order","","000")</f>
        <v>Production Order</v>
      </c>
      <c r="AR241" s="2">
        <v>168</v>
      </c>
      <c r="AS241" s="2">
        <v>133.364</v>
      </c>
      <c r="AV241" s="2">
        <v>159.54499999999999</v>
      </c>
      <c r="AY241" s="2">
        <v>233.18199999999999</v>
      </c>
    </row>
    <row r="242" spans="1:52" x14ac:dyDescent="0.35">
      <c r="A242" s="2" t="str">
        <f xml:space="preserve"> _xll.EPMOlapMemberO("[LOCID].[].[Munich plant]","","Munich plant","","000")</f>
        <v>Munich plant</v>
      </c>
      <c r="B242" s="2" t="str">
        <f xml:space="preserve"> _xll.EPMOlapMemberO("[PRDID].[].[999-67463-0023]","","999-67463-0023","","000")</f>
        <v>999-67463-0023</v>
      </c>
      <c r="C242" s="2" t="str">
        <f xml:space="preserve"> _xll.EPMOlapMemberO("[BRAND].[].[ ROUTE 66]",""," ROUTE 66","","000")</f>
        <v xml:space="preserve"> ROUTE 66</v>
      </c>
      <c r="D242" s="2" t="str">
        <f xml:space="preserve"> _xll.EPMOlapMemberO("[AM2MARKETDESCR].[].[CZECH REPUBLIC]","","CZECH REPUBLIC","","000")</f>
        <v>CZECH REPUBLIC</v>
      </c>
      <c r="E242" s="2" t="str">
        <f xml:space="preserve"> _xll.EPMOlapMemberO("[AM2PARENTCUSTGROUP].[].[__NULL]","","(None)","","000")</f>
        <v>(None)</v>
      </c>
      <c r="F242" s="2" t="str">
        <f xml:space="preserve"> _xll.EPMOlapMemberO("[KEY_FIGURES].[].[INITIALINVENTORY]","","Stock","","000")</f>
        <v>Stock</v>
      </c>
      <c r="AQ242" s="2">
        <v>84</v>
      </c>
    </row>
    <row r="243" spans="1:52" x14ac:dyDescent="0.35">
      <c r="A243" s="2" t="str">
        <f xml:space="preserve"> _xll.EPMOlapMemberO("[LOCID].[].[Munich plant]","","Munich plant","","000")</f>
        <v>Munich plant</v>
      </c>
      <c r="B243" s="2" t="str">
        <f xml:space="preserve"> _xll.EPMOlapMemberO("[PRDID].[].[999-67463-0023]","","999-67463-0023","","000")</f>
        <v>999-67463-0023</v>
      </c>
      <c r="C243" s="2" t="str">
        <f xml:space="preserve"> _xll.EPMOlapMemberO("[BRAND].[].[ ROUTE 66]",""," ROUTE 66","","000")</f>
        <v xml:space="preserve"> ROUTE 66</v>
      </c>
      <c r="D243" s="2" t="str">
        <f xml:space="preserve"> _xll.EPMOlapMemberO("[AM2MARKETDESCR].[].[CZECH REPUBLIC]","","CZECH REPUBLIC","","000")</f>
        <v>CZECH REPUBLIC</v>
      </c>
      <c r="E243" s="2" t="str">
        <f xml:space="preserve"> _xll.EPMOlapMemberO("[AM2PARENTCUSTGROUP].[].[__NULL]","","(None)","","000")</f>
        <v>(None)</v>
      </c>
      <c r="F243" s="2" t="str">
        <f xml:space="preserve"> _xll.EPMOlapMemberO("[KEY_FIGURES].[].[CONFIRMEDPRODUCTION]","","Production Order","","000")</f>
        <v>Production Order</v>
      </c>
      <c r="AS243" s="2">
        <v>138</v>
      </c>
      <c r="AU243" s="2">
        <v>122.727</v>
      </c>
      <c r="AX243" s="2">
        <v>294.54500000000002</v>
      </c>
    </row>
    <row r="244" spans="1:52" x14ac:dyDescent="0.35">
      <c r="A244" s="2" t="str">
        <f xml:space="preserve"> _xll.EPMOlapMemberO("[LOCID].[].[Munich plant]","","Munich plant","","000")</f>
        <v>Munich plant</v>
      </c>
      <c r="B244" s="2" t="str">
        <f xml:space="preserve"> _xll.EPMOlapMemberO("[PRDID].[].[999-68017-0470]","","999-68017-0470","","000")</f>
        <v>999-68017-0470</v>
      </c>
      <c r="C244" s="2" t="str">
        <f xml:space="preserve"> _xll.EPMOlapMemberO("[BRAND].[].[ PLAIN PACKAGING]",""," PLAIN PACKAGING","","000")</f>
        <v xml:space="preserve"> PLAIN PACKAGING</v>
      </c>
      <c r="D244" s="2" t="str">
        <f xml:space="preserve"> _xll.EPMOlapMemberO("[AM2MARKETDESCR].[].[GREAT BRITAIN DUTY FREE]","","GREAT BRITAIN DUTY FREE","","000")</f>
        <v>GREAT BRITAIN DUTY FREE</v>
      </c>
      <c r="E244" s="2" t="str">
        <f xml:space="preserve"> _xll.EPMOlapMemberO("[AM2PARENTCUSTGROUP].[].[__NULL]","","(None)","","000")</f>
        <v>(None)</v>
      </c>
      <c r="F244" s="2" t="str">
        <f xml:space="preserve"> _xll.EPMOlapMemberO("[KEY_FIGURES].[].[INITIALINVENTORY]","","Stock","","000")</f>
        <v>Stock</v>
      </c>
      <c r="AQ244" s="2">
        <v>3045</v>
      </c>
    </row>
    <row r="245" spans="1:52" x14ac:dyDescent="0.35">
      <c r="A245" s="2" t="str">
        <f xml:space="preserve"> _xll.EPMOlapMemberO("[LOCID].[].[Munich plant]","","Munich plant","","000")</f>
        <v>Munich plant</v>
      </c>
      <c r="B245" s="2" t="str">
        <f xml:space="preserve"> _xll.EPMOlapMemberO("[PRDID].[].[999-68017-0470]","","999-68017-0470","","000")</f>
        <v>999-68017-0470</v>
      </c>
      <c r="C245" s="2" t="str">
        <f xml:space="preserve"> _xll.EPMOlapMemberO("[BRAND].[].[ PLAIN PACKAGING]",""," PLAIN PACKAGING","","000")</f>
        <v xml:space="preserve"> PLAIN PACKAGING</v>
      </c>
      <c r="D245" s="2" t="str">
        <f xml:space="preserve"> _xll.EPMOlapMemberO("[AM2MARKETDESCR].[].[GREAT BRITAIN DUTY FREE]","","GREAT BRITAIN DUTY FREE","","000")</f>
        <v>GREAT BRITAIN DUTY FREE</v>
      </c>
      <c r="E245" s="2" t="str">
        <f xml:space="preserve"> _xll.EPMOlapMemberO("[AM2PARENTCUSTGROUP].[].[__NULL]","","(None)","","000")</f>
        <v>(None)</v>
      </c>
      <c r="F245" s="2" t="str">
        <f xml:space="preserve"> _xll.EPMOlapMemberO("[KEY_FIGURES].[].[CONFIRMEDPRODUCTION]","","Production Order","","000")</f>
        <v>Production Order</v>
      </c>
      <c r="AR245" s="2">
        <v>5386.25</v>
      </c>
      <c r="AU245" s="2">
        <v>3030</v>
      </c>
      <c r="AX245" s="2">
        <v>3815</v>
      </c>
      <c r="AZ245" s="2">
        <v>2500</v>
      </c>
    </row>
    <row r="246" spans="1:52" x14ac:dyDescent="0.35">
      <c r="A246" s="2" t="str">
        <f xml:space="preserve"> _xll.EPMOlapMemberO("[LOCID].[].[Munich plant]","","Munich plant","","000")</f>
        <v>Munich plant</v>
      </c>
      <c r="B246" s="2" t="str">
        <f xml:space="preserve"> _xll.EPMOlapMemberO("[PRDID].[].[999-68017-0473]","","999-68017-0473","","000")</f>
        <v>999-68017-0473</v>
      </c>
      <c r="C246" s="2" t="str">
        <f xml:space="preserve"> _xll.EPMOlapMemberO("[BRAND].[].[ PLAIN PACKAGING]",""," PLAIN PACKAGING","","000")</f>
        <v xml:space="preserve"> PLAIN PACKAGING</v>
      </c>
      <c r="D246" s="2" t="str">
        <f xml:space="preserve"> _xll.EPMOlapMemberO("[AM2MARKETDESCR].[].[GREAT BRITAIN DUTY FREE]","","GREAT BRITAIN DUTY FREE","","000")</f>
        <v>GREAT BRITAIN DUTY FREE</v>
      </c>
      <c r="E246" s="2" t="str">
        <f xml:space="preserve"> _xll.EPMOlapMemberO("[AM2PARENTCUSTGROUP].[].[__NULL]","","(None)","","000")</f>
        <v>(None)</v>
      </c>
      <c r="F246" s="2" t="str">
        <f xml:space="preserve"> _xll.EPMOlapMemberO("[KEY_FIGURES].[].[CONFIRMEDPRODUCTION]","","Production Order","","000")</f>
        <v>Production Order</v>
      </c>
      <c r="AS246" s="2">
        <v>170</v>
      </c>
      <c r="AV246" s="2">
        <v>50</v>
      </c>
      <c r="AY246" s="2">
        <v>80</v>
      </c>
    </row>
    <row r="247" spans="1:52" x14ac:dyDescent="0.35">
      <c r="A247" s="2" t="str">
        <f xml:space="preserve"> _xll.EPMOlapMemberO("[LOCID].[].[Munich plant]","","Munich plant","","000")</f>
        <v>Munich plant</v>
      </c>
      <c r="B247" s="2" t="str">
        <f xml:space="preserve"> _xll.EPMOlapMemberO("[PRDID].[].[999-68017-0474]","","999-68017-0474","","000")</f>
        <v>999-68017-0474</v>
      </c>
      <c r="C247" s="2" t="str">
        <f xml:space="preserve"> _xll.EPMOlapMemberO("[BRAND].[].[ PLAIN PACKAGING]",""," PLAIN PACKAGING","","000")</f>
        <v xml:space="preserve"> PLAIN PACKAGING</v>
      </c>
      <c r="D247" s="2" t="str">
        <f xml:space="preserve"> _xll.EPMOlapMemberO("[AM2MARKETDESCR].[].[GREAT BRITAIN DUTY FREE]","","GREAT BRITAIN DUTY FREE","","000")</f>
        <v>GREAT BRITAIN DUTY FREE</v>
      </c>
      <c r="E247" s="2" t="str">
        <f xml:space="preserve"> _xll.EPMOlapMemberO("[AM2PARENTCUSTGROUP].[].[__NULL]","","(None)","","000")</f>
        <v>(None)</v>
      </c>
      <c r="F247" s="2" t="str">
        <f xml:space="preserve"> _xll.EPMOlapMemberO("[KEY_FIGURES].[].[CONFIRMEDPRODUCTION]","","Production Order","","000")</f>
        <v>Production Order</v>
      </c>
      <c r="AT247" s="2">
        <v>440</v>
      </c>
      <c r="AW247" s="2">
        <v>160</v>
      </c>
      <c r="AZ247" s="2">
        <v>175</v>
      </c>
    </row>
    <row r="248" spans="1:52" x14ac:dyDescent="0.35">
      <c r="A248" s="2" t="str">
        <f xml:space="preserve"> _xll.EPMOlapMemberO("[LOCID].[].[Munich plant]","","Munich plant","","000")</f>
        <v>Munich plant</v>
      </c>
      <c r="B248" s="2" t="str">
        <f xml:space="preserve"> _xll.EPMOlapMemberO("[PRDID].[].[999-68017-0612]","","999-68017-0612","","000")</f>
        <v>999-68017-0612</v>
      </c>
      <c r="C248" s="2" t="str">
        <f xml:space="preserve"> _xll.EPMOlapMemberO("[BRAND].[].[ PLAIN PACKAGING]",""," PLAIN PACKAGING","","000")</f>
        <v xml:space="preserve"> PLAIN PACKAGING</v>
      </c>
      <c r="D248" s="2" t="str">
        <f xml:space="preserve"> _xll.EPMOlapMemberO("[AM2MARKETDESCR].[].[CHANNEL ISLAND]","","CHANNEL ISLAND","","000")</f>
        <v>CHANNEL ISLAND</v>
      </c>
      <c r="E248" s="2" t="str">
        <f xml:space="preserve"> _xll.EPMOlapMemberO("[AM2PARENTCUSTGROUP].[].[__NULL]","","(None)","","000")</f>
        <v>(None)</v>
      </c>
      <c r="F248" s="2" t="str">
        <f xml:space="preserve"> _xll.EPMOlapMemberO("[KEY_FIGURES].[].[INITIALINVENTORY]","","Stock","","000")</f>
        <v>Stock</v>
      </c>
      <c r="AQ248" s="2">
        <v>201.6</v>
      </c>
    </row>
    <row r="249" spans="1:52" x14ac:dyDescent="0.35">
      <c r="A249" s="2" t="str">
        <f xml:space="preserve"> _xll.EPMOlapMemberO("[LOCID].[].[Munich plant]","","Munich plant","","000")</f>
        <v>Munich plant</v>
      </c>
      <c r="B249" s="2" t="str">
        <f xml:space="preserve"> _xll.EPMOlapMemberO("[PRDID].[].[999-68017-0612]","","999-68017-0612","","000")</f>
        <v>999-68017-0612</v>
      </c>
      <c r="C249" s="2" t="str">
        <f xml:space="preserve"> _xll.EPMOlapMemberO("[BRAND].[].[ PLAIN PACKAGING]",""," PLAIN PACKAGING","","000")</f>
        <v xml:space="preserve"> PLAIN PACKAGING</v>
      </c>
      <c r="D249" s="2" t="str">
        <f xml:space="preserve"> _xll.EPMOlapMemberO("[AM2MARKETDESCR].[].[CHANNEL ISLAND]","","CHANNEL ISLAND","","000")</f>
        <v>CHANNEL ISLAND</v>
      </c>
      <c r="E249" s="2" t="str">
        <f xml:space="preserve"> _xll.EPMOlapMemberO("[AM2PARENTCUSTGROUP].[].[__NULL]","","(None)","","000")</f>
        <v>(None)</v>
      </c>
      <c r="F249" s="2" t="str">
        <f xml:space="preserve"> _xll.EPMOlapMemberO("[KEY_FIGURES].[].[CONFIRMEDPRODUCTION]","","Production Order","","000")</f>
        <v>Production Order</v>
      </c>
      <c r="AT249" s="2">
        <v>188.5</v>
      </c>
      <c r="AW249" s="2">
        <v>130.5</v>
      </c>
      <c r="AZ249" s="2">
        <v>174</v>
      </c>
    </row>
    <row r="250" spans="1:52" x14ac:dyDescent="0.35">
      <c r="A250" s="2" t="str">
        <f xml:space="preserve"> _xll.EPMOlapMemberO("[LOCID].[].[Munich plant]","","Munich plant","","000")</f>
        <v>Munich plant</v>
      </c>
      <c r="B250" s="2" t="str">
        <f xml:space="preserve"> _xll.EPMOlapMemberO("[PRDID].[].[999-68017-0746]","","999-68017-0746","","000")</f>
        <v>999-68017-0746</v>
      </c>
      <c r="C250" s="2" t="str">
        <f xml:space="preserve"> _xll.EPMOlapMemberO("[BRAND].[].[ PLAIN PACKAGING]",""," PLAIN PACKAGING","","000")</f>
        <v xml:space="preserve"> PLAIN PACKAGING</v>
      </c>
      <c r="D250" s="2" t="str">
        <f xml:space="preserve"> _xll.EPMOlapMemberO("[AM2MARKETDESCR].[].[NORTHERN IRELAND]","","NORTHERN IRELAND","","000")</f>
        <v>NORTHERN IRELAND</v>
      </c>
      <c r="E250" s="2" t="str">
        <f xml:space="preserve"> _xll.EPMOlapMemberO("[AM2PARENTCUSTGROUP].[].[__NULL]","","(None)","","000")</f>
        <v>(None)</v>
      </c>
      <c r="F250" s="2" t="str">
        <f xml:space="preserve"> _xll.EPMOlapMemberO("[KEY_FIGURES].[].[INITIALINVENTORY]","","Stock","","000")</f>
        <v>Stock</v>
      </c>
      <c r="AQ250" s="2">
        <v>100.8</v>
      </c>
    </row>
    <row r="251" spans="1:52" x14ac:dyDescent="0.35">
      <c r="A251" s="2" t="str">
        <f xml:space="preserve"> _xll.EPMOlapMemberO("[LOCID].[].[Munich plant]","","Munich plant","","000")</f>
        <v>Munich plant</v>
      </c>
      <c r="B251" s="2" t="str">
        <f xml:space="preserve"> _xll.EPMOlapMemberO("[PRDID].[].[999-68017-0749]","","999-68017-0749","","000")</f>
        <v>999-68017-0749</v>
      </c>
      <c r="C251" s="2" t="str">
        <f xml:space="preserve"> _xll.EPMOlapMemberO("[BRAND].[].[ PLAIN PACKAGING]",""," PLAIN PACKAGING","","000")</f>
        <v xml:space="preserve"> PLAIN PACKAGING</v>
      </c>
      <c r="D251" s="2" t="str">
        <f xml:space="preserve"> _xll.EPMOlapMemberO("[AM2MARKETDESCR].[].[NORTHERN IRELAND]","","NORTHERN IRELAND","","000")</f>
        <v>NORTHERN IRELAND</v>
      </c>
      <c r="E251" s="2" t="str">
        <f xml:space="preserve"> _xll.EPMOlapMemberO("[AM2PARENTCUSTGROUP].[].[__NULL]","","(None)","","000")</f>
        <v>(None)</v>
      </c>
      <c r="F251" s="2" t="str">
        <f xml:space="preserve"> _xll.EPMOlapMemberO("[KEY_FIGURES].[].[INITIALINVENTORY]","","Stock","","000")</f>
        <v>Stock</v>
      </c>
      <c r="AQ251" s="2">
        <v>100.8</v>
      </c>
    </row>
    <row r="252" spans="1:52" x14ac:dyDescent="0.35">
      <c r="A252" s="2" t="str">
        <f xml:space="preserve"> _xll.EPMOlapMemberO("[LOCID].[].[Munich plant]","","Munich plant","","000")</f>
        <v>Munich plant</v>
      </c>
      <c r="B252" s="2" t="str">
        <f xml:space="preserve"> _xll.EPMOlapMemberO("[PRDID].[].[999-68017-0749]","","999-68017-0749","","000")</f>
        <v>999-68017-0749</v>
      </c>
      <c r="C252" s="2" t="str">
        <f xml:space="preserve"> _xll.EPMOlapMemberO("[BRAND].[].[ PLAIN PACKAGING]",""," PLAIN PACKAGING","","000")</f>
        <v xml:space="preserve"> PLAIN PACKAGING</v>
      </c>
      <c r="D252" s="2" t="str">
        <f xml:space="preserve"> _xll.EPMOlapMemberO("[AM2MARKETDESCR].[].[NORTHERN IRELAND]","","NORTHERN IRELAND","","000")</f>
        <v>NORTHERN IRELAND</v>
      </c>
      <c r="E252" s="2" t="str">
        <f xml:space="preserve"> _xll.EPMOlapMemberO("[AM2PARENTCUSTGROUP].[].[__NULL]","","(None)","","000")</f>
        <v>(None)</v>
      </c>
      <c r="F252" s="2" t="str">
        <f xml:space="preserve"> _xll.EPMOlapMemberO("[KEY_FIGURES].[].[CONFIRMEDPRODUCTION]","","Production Order","","000")</f>
        <v>Production Order</v>
      </c>
      <c r="AS252" s="2">
        <v>30</v>
      </c>
    </row>
    <row r="253" spans="1:52" x14ac:dyDescent="0.35">
      <c r="A253" s="2" t="str">
        <f xml:space="preserve"> _xll.EPMOlapMemberO("[LOCID].[].[Munich plant]","","Munich plant","","000")</f>
        <v>Munich plant</v>
      </c>
      <c r="B253" s="2" t="str">
        <f xml:space="preserve"> _xll.EPMOlapMemberO("[PRDID].[].[999-68017-0784]","","999-68017-0784","","000")</f>
        <v>999-68017-0784</v>
      </c>
      <c r="C253" s="2" t="str">
        <f xml:space="preserve"> _xll.EPMOlapMemberO("[BRAND].[].[ PLAIN PACKAGING]",""," PLAIN PACKAGING","","000")</f>
        <v xml:space="preserve"> PLAIN PACKAGING</v>
      </c>
      <c r="D253" s="2" t="str">
        <f xml:space="preserve"> _xll.EPMOlapMemberO("[AM2MARKETDESCR].[].[FRANCE]","","FRANCE","","000")</f>
        <v>FRANCE</v>
      </c>
      <c r="E253" s="2" t="str">
        <f xml:space="preserve"> _xll.EPMOlapMemberO("[AM2PARENTCUSTGROUP].[].[__NULL]","","(None)","","000")</f>
        <v>(None)</v>
      </c>
      <c r="F253" s="2" t="str">
        <f xml:space="preserve"> _xll.EPMOlapMemberO("[KEY_FIGURES].[].[INITIALINVENTORY]","","Stock","","000")</f>
        <v>Stock</v>
      </c>
      <c r="AQ253" s="2">
        <v>100.8</v>
      </c>
    </row>
    <row r="254" spans="1:52" x14ac:dyDescent="0.35">
      <c r="A254" s="2" t="str">
        <f xml:space="preserve"> _xll.EPMOlapMemberO("[LOCID].[].[Munich plant]","","Munich plant","","000")</f>
        <v>Munich plant</v>
      </c>
      <c r="B254" s="2" t="str">
        <f xml:space="preserve"> _xll.EPMOlapMemberO("[PRDID].[].[999-68017-0811]","","999-68017-0811","","000")</f>
        <v>999-68017-0811</v>
      </c>
      <c r="C254" s="2" t="str">
        <f xml:space="preserve"> _xll.EPMOlapMemberO("[BRAND].[].[ PLAIN PACKAGING]",""," PLAIN PACKAGING","","000")</f>
        <v xml:space="preserve"> PLAIN PACKAGING</v>
      </c>
      <c r="D254" s="2" t="str">
        <f xml:space="preserve"> _xll.EPMOlapMemberO("[AM2MARKETDESCR].[].[GREAT BRITAIN]","","GREAT BRITAIN","","000")</f>
        <v>GREAT BRITAIN</v>
      </c>
      <c r="E254" s="2" t="str">
        <f xml:space="preserve"> _xll.EPMOlapMemberO("[AM2PARENTCUSTGROUP].[].[__NULL]","","(None)","","000")</f>
        <v>(None)</v>
      </c>
      <c r="F254" s="2" t="str">
        <f xml:space="preserve"> _xll.EPMOlapMemberO("[KEY_FIGURES].[].[CONFIRMEDPRODUCTION]","","Production Order","","000")</f>
        <v>Production Order</v>
      </c>
      <c r="AS254" s="2">
        <v>133</v>
      </c>
      <c r="AV254" s="2">
        <v>42</v>
      </c>
      <c r="AY254" s="2">
        <v>52.5</v>
      </c>
    </row>
    <row r="255" spans="1:52" x14ac:dyDescent="0.35">
      <c r="A255" s="2" t="str">
        <f xml:space="preserve"> _xll.EPMOlapMemberO("[LOCID].[].[Munich plant]","","Munich plant","","000")</f>
        <v>Munich plant</v>
      </c>
      <c r="B255" s="2" t="str">
        <f xml:space="preserve"> _xll.EPMOlapMemberO("[PRDID].[].[999-68017-0812]","","999-68017-0812","","000")</f>
        <v>999-68017-0812</v>
      </c>
      <c r="C255" s="2" t="str">
        <f xml:space="preserve"> _xll.EPMOlapMemberO("[BRAND].[].[ PLAIN PACKAGING]",""," PLAIN PACKAGING","","000")</f>
        <v xml:space="preserve"> PLAIN PACKAGING</v>
      </c>
      <c r="D255" s="2" t="str">
        <f xml:space="preserve"> _xll.EPMOlapMemberO("[AM2MARKETDESCR].[].[GREAT BRITAIN]","","GREAT BRITAIN","","000")</f>
        <v>GREAT BRITAIN</v>
      </c>
      <c r="E255" s="2" t="str">
        <f xml:space="preserve"> _xll.EPMOlapMemberO("[AM2PARENTCUSTGROUP].[].[__NULL]","","(None)","","000")</f>
        <v>(None)</v>
      </c>
      <c r="F255" s="2" t="str">
        <f xml:space="preserve"> _xll.EPMOlapMemberO("[KEY_FIGURES].[].[INITIALINVENTORY]","","Stock","","000")</f>
        <v>Stock</v>
      </c>
      <c r="AQ255" s="2">
        <v>6048</v>
      </c>
    </row>
    <row r="256" spans="1:52" x14ac:dyDescent="0.35">
      <c r="A256" s="2" t="str">
        <f xml:space="preserve"> _xll.EPMOlapMemberO("[LOCID].[].[Munich plant]","","Munich plant","","000")</f>
        <v>Munich plant</v>
      </c>
      <c r="B256" s="2" t="str">
        <f xml:space="preserve"> _xll.EPMOlapMemberO("[PRDID].[].[999-68017-0812]","","999-68017-0812","","000")</f>
        <v>999-68017-0812</v>
      </c>
      <c r="C256" s="2" t="str">
        <f xml:space="preserve"> _xll.EPMOlapMemberO("[BRAND].[].[ PLAIN PACKAGING]",""," PLAIN PACKAGING","","000")</f>
        <v xml:space="preserve"> PLAIN PACKAGING</v>
      </c>
      <c r="D256" s="2" t="str">
        <f xml:space="preserve"> _xll.EPMOlapMemberO("[AM2MARKETDESCR].[].[GREAT BRITAIN]","","GREAT BRITAIN","","000")</f>
        <v>GREAT BRITAIN</v>
      </c>
      <c r="E256" s="2" t="str">
        <f xml:space="preserve"> _xll.EPMOlapMemberO("[AM2PARENTCUSTGROUP].[].[__NULL]","","(None)","","000")</f>
        <v>(None)</v>
      </c>
      <c r="F256" s="2" t="str">
        <f xml:space="preserve"> _xll.EPMOlapMemberO("[KEY_FIGURES].[].[CONFIRMEDPRODUCTION]","","Production Order","","000")</f>
        <v>Production Order</v>
      </c>
      <c r="AU256" s="2">
        <v>6000</v>
      </c>
      <c r="AW256" s="2">
        <v>6000</v>
      </c>
      <c r="AY256" s="2">
        <v>6000</v>
      </c>
    </row>
    <row r="257" spans="1:52" x14ac:dyDescent="0.35">
      <c r="A257" s="2" t="str">
        <f xml:space="preserve"> _xll.EPMOlapMemberO("[LOCID].[].[Munich plant]","","Munich plant","","000")</f>
        <v>Munich plant</v>
      </c>
      <c r="B257" s="2" t="str">
        <f xml:space="preserve"> _xll.EPMOlapMemberO("[PRDID].[].[999-68017-0813]","","999-68017-0813","","000")</f>
        <v>999-68017-0813</v>
      </c>
      <c r="C257" s="2" t="str">
        <f xml:space="preserve"> _xll.EPMOlapMemberO("[BRAND].[].[ PLAIN PACKAGING]",""," PLAIN PACKAGING","","000")</f>
        <v xml:space="preserve"> PLAIN PACKAGING</v>
      </c>
      <c r="D257" s="2" t="str">
        <f xml:space="preserve"> _xll.EPMOlapMemberO("[AM2MARKETDESCR].[].[GREAT BRITAIN]","","GREAT BRITAIN","","000")</f>
        <v>GREAT BRITAIN</v>
      </c>
      <c r="E257" s="2" t="str">
        <f xml:space="preserve"> _xll.EPMOlapMemberO("[AM2PARENTCUSTGROUP].[].[__NULL]","","(None)","","000")</f>
        <v>(None)</v>
      </c>
      <c r="F257" s="2" t="str">
        <f xml:space="preserve"> _xll.EPMOlapMemberO("[KEY_FIGURES].[].[INITIALINVENTORY]","","Stock","","000")</f>
        <v>Stock</v>
      </c>
      <c r="AQ257" s="2">
        <v>201.6</v>
      </c>
    </row>
    <row r="258" spans="1:52" x14ac:dyDescent="0.35">
      <c r="A258" s="2" t="str">
        <f xml:space="preserve"> _xll.EPMOlapMemberO("[LOCID].[].[Munich plant]","","Munich plant","","000")</f>
        <v>Munich plant</v>
      </c>
      <c r="B258" s="2" t="str">
        <f xml:space="preserve"> _xll.EPMOlapMemberO("[PRDID].[].[999-68017-0813]","","999-68017-0813","","000")</f>
        <v>999-68017-0813</v>
      </c>
      <c r="C258" s="2" t="str">
        <f xml:space="preserve"> _xll.EPMOlapMemberO("[BRAND].[].[ PLAIN PACKAGING]",""," PLAIN PACKAGING","","000")</f>
        <v xml:space="preserve"> PLAIN PACKAGING</v>
      </c>
      <c r="D258" s="2" t="str">
        <f xml:space="preserve"> _xll.EPMOlapMemberO("[AM2MARKETDESCR].[].[GREAT BRITAIN]","","GREAT BRITAIN","","000")</f>
        <v>GREAT BRITAIN</v>
      </c>
      <c r="E258" s="2" t="str">
        <f xml:space="preserve"> _xll.EPMOlapMemberO("[AM2PARENTCUSTGROUP].[].[__NULL]","","(None)","","000")</f>
        <v>(None)</v>
      </c>
      <c r="F258" s="2" t="str">
        <f xml:space="preserve"> _xll.EPMOlapMemberO("[KEY_FIGURES].[].[CONFIRMEDPRODUCTION]","","Production Order","","000")</f>
        <v>Production Order</v>
      </c>
      <c r="AU258" s="2">
        <v>451.5</v>
      </c>
      <c r="AY258" s="2">
        <v>430.5</v>
      </c>
    </row>
    <row r="259" spans="1:52" x14ac:dyDescent="0.35">
      <c r="A259" s="2" t="str">
        <f xml:space="preserve"> _xll.EPMOlapMemberO("[LOCID].[].[Munich plant]","","Munich plant","","000")</f>
        <v>Munich plant</v>
      </c>
      <c r="B259" s="2" t="str">
        <f xml:space="preserve"> _xll.EPMOlapMemberO("[PRDID].[].[999-68017-0815]","","999-68017-0815","","000")</f>
        <v>999-68017-0815</v>
      </c>
      <c r="C259" s="2" t="str">
        <f xml:space="preserve"> _xll.EPMOlapMemberO("[BRAND].[].[ PLAIN PACKAGING]",""," PLAIN PACKAGING","","000")</f>
        <v xml:space="preserve"> PLAIN PACKAGING</v>
      </c>
      <c r="D259" s="2" t="str">
        <f xml:space="preserve"> _xll.EPMOlapMemberO("[AM2MARKETDESCR].[].[GREAT BRITAIN]","","GREAT BRITAIN","","000")</f>
        <v>GREAT BRITAIN</v>
      </c>
      <c r="E259" s="2" t="str">
        <f xml:space="preserve"> _xll.EPMOlapMemberO("[AM2PARENTCUSTGROUP].[].[__NULL]","","(None)","","000")</f>
        <v>(None)</v>
      </c>
      <c r="F259" s="2" t="str">
        <f xml:space="preserve"> _xll.EPMOlapMemberO("[KEY_FIGURES].[].[INITIALINVENTORY]","","Stock","","000")</f>
        <v>Stock</v>
      </c>
      <c r="AQ259" s="2">
        <v>604.79999999999995</v>
      </c>
    </row>
    <row r="260" spans="1:52" x14ac:dyDescent="0.35">
      <c r="A260" s="2" t="str">
        <f xml:space="preserve"> _xll.EPMOlapMemberO("[LOCID].[].[Munich plant]","","Munich plant","","000")</f>
        <v>Munich plant</v>
      </c>
      <c r="B260" s="2" t="str">
        <f xml:space="preserve"> _xll.EPMOlapMemberO("[PRDID].[].[999-68017-0816]","","999-68017-0816","","000")</f>
        <v>999-68017-0816</v>
      </c>
      <c r="C260" s="2" t="str">
        <f xml:space="preserve"> _xll.EPMOlapMemberO("[BRAND].[].[ PLAIN PACKAGING]",""," PLAIN PACKAGING","","000")</f>
        <v xml:space="preserve"> PLAIN PACKAGING</v>
      </c>
      <c r="D260" s="2" t="str">
        <f xml:space="preserve"> _xll.EPMOlapMemberO("[AM2MARKETDESCR].[].[GREAT BRITAIN]","","GREAT BRITAIN","","000")</f>
        <v>GREAT BRITAIN</v>
      </c>
      <c r="E260" s="2" t="str">
        <f xml:space="preserve"> _xll.EPMOlapMemberO("[AM2PARENTCUSTGROUP].[].[__NULL]","","(None)","","000")</f>
        <v>(None)</v>
      </c>
      <c r="F260" s="2" t="str">
        <f xml:space="preserve"> _xll.EPMOlapMemberO("[KEY_FIGURES].[].[CONFIRMEDPRODUCTION]","","Production Order","","000")</f>
        <v>Production Order</v>
      </c>
      <c r="AU260" s="2">
        <v>130.5</v>
      </c>
      <c r="AX260" s="2">
        <v>130.5</v>
      </c>
    </row>
    <row r="261" spans="1:52" x14ac:dyDescent="0.35">
      <c r="A261" s="2" t="str">
        <f xml:space="preserve"> _xll.EPMOlapMemberO("[LOCID].[].[Munich plant]","","Munich plant","","000")</f>
        <v>Munich plant</v>
      </c>
      <c r="B261" s="2" t="str">
        <f xml:space="preserve"> _xll.EPMOlapMemberO("[PRDID].[].[999-68017-0817]","","999-68017-0817","","000")</f>
        <v>999-68017-0817</v>
      </c>
      <c r="C261" s="2" t="str">
        <f xml:space="preserve"> _xll.EPMOlapMemberO("[BRAND].[].[ PLAIN PACKAGING]",""," PLAIN PACKAGING","","000")</f>
        <v xml:space="preserve"> PLAIN PACKAGING</v>
      </c>
      <c r="D261" s="2" t="str">
        <f xml:space="preserve"> _xll.EPMOlapMemberO("[AM2MARKETDESCR].[].[GREAT BRITAIN]","","GREAT BRITAIN","","000")</f>
        <v>GREAT BRITAIN</v>
      </c>
      <c r="E261" s="2" t="str">
        <f xml:space="preserve"> _xll.EPMOlapMemberO("[AM2PARENTCUSTGROUP].[].[__NULL]","","(None)","","000")</f>
        <v>(None)</v>
      </c>
      <c r="F261" s="2" t="str">
        <f xml:space="preserve"> _xll.EPMOlapMemberO("[KEY_FIGURES].[].[CONFIRMEDPRODUCTION]","","Production Order","","000")</f>
        <v>Production Order</v>
      </c>
      <c r="AR261" s="2">
        <v>1411.2</v>
      </c>
      <c r="AS261" s="2">
        <v>1248</v>
      </c>
      <c r="AV261" s="2">
        <v>1679</v>
      </c>
      <c r="AY261" s="2">
        <v>1796</v>
      </c>
    </row>
    <row r="262" spans="1:52" x14ac:dyDescent="0.35">
      <c r="A262" s="2" t="str">
        <f xml:space="preserve"> _xll.EPMOlapMemberO("[LOCID].[].[Munich plant]","","Munich plant","","000")</f>
        <v>Munich plant</v>
      </c>
      <c r="B262" s="2" t="str">
        <f xml:space="preserve"> _xll.EPMOlapMemberO("[PRDID].[].[999-68017-0818]","","999-68017-0818","","000")</f>
        <v>999-68017-0818</v>
      </c>
      <c r="C262" s="2" t="str">
        <f xml:space="preserve"> _xll.EPMOlapMemberO("[BRAND].[].[ PLAIN PACKAGING]",""," PLAIN PACKAGING","","000")</f>
        <v xml:space="preserve"> PLAIN PACKAGING</v>
      </c>
      <c r="D262" s="2" t="str">
        <f xml:space="preserve"> _xll.EPMOlapMemberO("[AM2MARKETDESCR].[].[GREAT BRITAIN]","","GREAT BRITAIN","","000")</f>
        <v>GREAT BRITAIN</v>
      </c>
      <c r="E262" s="2" t="str">
        <f xml:space="preserve"> _xll.EPMOlapMemberO("[AM2PARENTCUSTGROUP].[].[__NULL]","","(None)","","000")</f>
        <v>(None)</v>
      </c>
      <c r="F262" s="2" t="str">
        <f xml:space="preserve"> _xll.EPMOlapMemberO("[KEY_FIGURES].[].[INITIALINVENTORY]","","Stock","","000")</f>
        <v>Stock</v>
      </c>
      <c r="AQ262" s="2">
        <v>705.6</v>
      </c>
    </row>
    <row r="263" spans="1:52" x14ac:dyDescent="0.35">
      <c r="A263" s="2" t="str">
        <f xml:space="preserve"> _xll.EPMOlapMemberO("[LOCID].[].[Munich plant]","","Munich plant","","000")</f>
        <v>Munich plant</v>
      </c>
      <c r="B263" s="2" t="str">
        <f xml:space="preserve"> _xll.EPMOlapMemberO("[PRDID].[].[999-68017-0818]","","999-68017-0818","","000")</f>
        <v>999-68017-0818</v>
      </c>
      <c r="C263" s="2" t="str">
        <f xml:space="preserve"> _xll.EPMOlapMemberO("[BRAND].[].[ PLAIN PACKAGING]",""," PLAIN PACKAGING","","000")</f>
        <v xml:space="preserve"> PLAIN PACKAGING</v>
      </c>
      <c r="D263" s="2" t="str">
        <f xml:space="preserve"> _xll.EPMOlapMemberO("[AM2MARKETDESCR].[].[GREAT BRITAIN]","","GREAT BRITAIN","","000")</f>
        <v>GREAT BRITAIN</v>
      </c>
      <c r="E263" s="2" t="str">
        <f xml:space="preserve"> _xll.EPMOlapMemberO("[AM2PARENTCUSTGROUP].[].[__NULL]","","(None)","","000")</f>
        <v>(None)</v>
      </c>
      <c r="F263" s="2" t="str">
        <f xml:space="preserve"> _xll.EPMOlapMemberO("[KEY_FIGURES].[].[CONFIRMEDPRODUCTION]","","Production Order","","000")</f>
        <v>Production Order</v>
      </c>
      <c r="AT263" s="2">
        <v>603.5</v>
      </c>
      <c r="AW263" s="2">
        <v>362</v>
      </c>
      <c r="AZ263" s="2">
        <v>618</v>
      </c>
    </row>
    <row r="264" spans="1:52" x14ac:dyDescent="0.35">
      <c r="A264" s="2" t="str">
        <f xml:space="preserve"> _xll.EPMOlapMemberO("[LOCID].[].[Munich plant]","","Munich plant","","000")</f>
        <v>Munich plant</v>
      </c>
      <c r="B264" s="2" t="str">
        <f xml:space="preserve"> _xll.EPMOlapMemberO("[PRDID].[].[999-68017-0820]","","999-68017-0820","","000")</f>
        <v>999-68017-0820</v>
      </c>
      <c r="C264" s="2" t="str">
        <f xml:space="preserve"> _xll.EPMOlapMemberO("[BRAND].[].[ PLAIN PACKAGING]",""," PLAIN PACKAGING","","000")</f>
        <v xml:space="preserve"> PLAIN PACKAGING</v>
      </c>
      <c r="D264" s="2" t="str">
        <f xml:space="preserve"> _xll.EPMOlapMemberO("[AM2MARKETDESCR].[].[GREAT BRITAIN]","","GREAT BRITAIN","","000")</f>
        <v>GREAT BRITAIN</v>
      </c>
      <c r="E264" s="2" t="str">
        <f xml:space="preserve"> _xll.EPMOlapMemberO("[AM2PARENTCUSTGROUP].[].[__NULL]","","(None)","","000")</f>
        <v>(None)</v>
      </c>
      <c r="F264" s="2" t="str">
        <f xml:space="preserve"> _xll.EPMOlapMemberO("[KEY_FIGURES].[].[CONFIRMEDPRODUCTION]","","Production Order","","000")</f>
        <v>Production Order</v>
      </c>
      <c r="AR264" s="2">
        <v>201.6</v>
      </c>
      <c r="AU264" s="2">
        <v>159</v>
      </c>
      <c r="AX264" s="2">
        <v>197.5</v>
      </c>
    </row>
    <row r="265" spans="1:52" x14ac:dyDescent="0.35">
      <c r="A265" s="2" t="str">
        <f xml:space="preserve"> _xll.EPMOlapMemberO("[LOCID].[].[Munich plant]","","Munich plant","","000")</f>
        <v>Munich plant</v>
      </c>
      <c r="B265" s="2" t="str">
        <f xml:space="preserve"> _xll.EPMOlapMemberO("[PRDID].[].[999-68017-0821]","","999-68017-0821","","000")</f>
        <v>999-68017-0821</v>
      </c>
      <c r="C265" s="2" t="str">
        <f xml:space="preserve"> _xll.EPMOlapMemberO("[BRAND].[].[ PLAIN PACKAGING]",""," PLAIN PACKAGING","","000")</f>
        <v xml:space="preserve"> PLAIN PACKAGING</v>
      </c>
      <c r="D265" s="2" t="str">
        <f xml:space="preserve"> _xll.EPMOlapMemberO("[AM2MARKETDESCR].[].[GREAT BRITAIN]","","GREAT BRITAIN","","000")</f>
        <v>GREAT BRITAIN</v>
      </c>
      <c r="E265" s="2" t="str">
        <f xml:space="preserve"> _xll.EPMOlapMemberO("[AM2PARENTCUSTGROUP].[].[__NULL]","","(None)","","000")</f>
        <v>(None)</v>
      </c>
      <c r="F265" s="2" t="str">
        <f xml:space="preserve"> _xll.EPMOlapMemberO("[KEY_FIGURES].[].[INITIALINVENTORY]","","Stock","","000")</f>
        <v>Stock</v>
      </c>
      <c r="AQ265" s="2">
        <v>201.6</v>
      </c>
    </row>
    <row r="266" spans="1:52" x14ac:dyDescent="0.35">
      <c r="A266" s="2" t="str">
        <f xml:space="preserve"> _xll.EPMOlapMemberO("[LOCID].[].[Munich plant]","","Munich plant","","000")</f>
        <v>Munich plant</v>
      </c>
      <c r="B266" s="2" t="str">
        <f xml:space="preserve"> _xll.EPMOlapMemberO("[PRDID].[].[999-68017-0821]","","999-68017-0821","","000")</f>
        <v>999-68017-0821</v>
      </c>
      <c r="C266" s="2" t="str">
        <f xml:space="preserve"> _xll.EPMOlapMemberO("[BRAND].[].[ PLAIN PACKAGING]",""," PLAIN PACKAGING","","000")</f>
        <v xml:space="preserve"> PLAIN PACKAGING</v>
      </c>
      <c r="D266" s="2" t="str">
        <f xml:space="preserve"> _xll.EPMOlapMemberO("[AM2MARKETDESCR].[].[GREAT BRITAIN]","","GREAT BRITAIN","","000")</f>
        <v>GREAT BRITAIN</v>
      </c>
      <c r="E266" s="2" t="str">
        <f xml:space="preserve"> _xll.EPMOlapMemberO("[AM2PARENTCUSTGROUP].[].[__NULL]","","(None)","","000")</f>
        <v>(None)</v>
      </c>
      <c r="F266" s="2" t="str">
        <f xml:space="preserve"> _xll.EPMOlapMemberO("[KEY_FIGURES].[].[CONFIRMEDPRODUCTION]","","Production Order","","000")</f>
        <v>Production Order</v>
      </c>
      <c r="AS266" s="2">
        <v>1391.5</v>
      </c>
      <c r="AU266" s="2">
        <v>1025</v>
      </c>
      <c r="AW266" s="2">
        <v>1029</v>
      </c>
      <c r="AY266" s="2">
        <v>1221.5</v>
      </c>
    </row>
    <row r="267" spans="1:52" x14ac:dyDescent="0.35">
      <c r="A267" s="2" t="str">
        <f xml:space="preserve"> _xll.EPMOlapMemberO("[LOCID].[].[Munich plant]","","Munich plant","","000")</f>
        <v>Munich plant</v>
      </c>
      <c r="B267" s="2" t="str">
        <f xml:space="preserve"> _xll.EPMOlapMemberO("[PRDID].[].[999-68017-0823]","","999-68017-0823","","000")</f>
        <v>999-68017-0823</v>
      </c>
      <c r="C267" s="2" t="str">
        <f xml:space="preserve"> _xll.EPMOlapMemberO("[BRAND].[].[ PLAIN PACKAGING]",""," PLAIN PACKAGING","","000")</f>
        <v xml:space="preserve"> PLAIN PACKAGING</v>
      </c>
      <c r="D267" s="2" t="str">
        <f xml:space="preserve"> _xll.EPMOlapMemberO("[AM2MARKETDESCR].[].[GREAT BRITAIN DUTY FREE]","","GREAT BRITAIN DUTY FREE","","000")</f>
        <v>GREAT BRITAIN DUTY FREE</v>
      </c>
      <c r="E267" s="2" t="str">
        <f xml:space="preserve"> _xll.EPMOlapMemberO("[AM2PARENTCUSTGROUP].[].[__NULL]","","(None)","","000")</f>
        <v>(None)</v>
      </c>
      <c r="F267" s="2" t="str">
        <f xml:space="preserve"> _xll.EPMOlapMemberO("[KEY_FIGURES].[].[CONFIRMEDPRODUCTION]","","Production Order","","000")</f>
        <v>Production Order</v>
      </c>
      <c r="AQ267" s="2">
        <v>1260</v>
      </c>
      <c r="AR267" s="2">
        <v>740.5</v>
      </c>
      <c r="AV267" s="2">
        <v>920</v>
      </c>
      <c r="AZ267" s="2">
        <v>1240</v>
      </c>
    </row>
    <row r="268" spans="1:52" x14ac:dyDescent="0.35">
      <c r="A268" s="2" t="str">
        <f xml:space="preserve"> _xll.EPMOlapMemberO("[LOCID].[].[Munich plant]","","Munich plant","","000")</f>
        <v>Munich plant</v>
      </c>
      <c r="B268" s="2" t="str">
        <f xml:space="preserve"> _xll.EPMOlapMemberO("[PRDID].[].[999-68017-0833]","","999-68017-0833","","000")</f>
        <v>999-68017-0833</v>
      </c>
      <c r="C268" s="2" t="str">
        <f xml:space="preserve"> _xll.EPMOlapMemberO("[BRAND].[].[ PLAIN PACKAGING]",""," PLAIN PACKAGING","","000")</f>
        <v xml:space="preserve"> PLAIN PACKAGING</v>
      </c>
      <c r="D268" s="2" t="str">
        <f xml:space="preserve"> _xll.EPMOlapMemberO("[AM2MARKETDESCR].[].[GREAT BRITAIN]","","GREAT BRITAIN","","000")</f>
        <v>GREAT BRITAIN</v>
      </c>
      <c r="E268" s="2" t="str">
        <f xml:space="preserve"> _xll.EPMOlapMemberO("[AM2PARENTCUSTGROUP].[].[__NULL]","","(None)","","000")</f>
        <v>(None)</v>
      </c>
      <c r="F268" s="2" t="str">
        <f xml:space="preserve"> _xll.EPMOlapMemberO("[KEY_FIGURES].[].[CONFIRMEDPRODUCTION]","","Production Order","","000")</f>
        <v>Production Order</v>
      </c>
      <c r="AR268" s="2">
        <v>145</v>
      </c>
      <c r="AU268" s="2">
        <v>58</v>
      </c>
      <c r="AX268" s="2">
        <v>87</v>
      </c>
    </row>
    <row r="269" spans="1:52" x14ac:dyDescent="0.35">
      <c r="A269" s="2" t="str">
        <f xml:space="preserve"> _xll.EPMOlapMemberO("[LOCID].[].[Munich plant]","","Munich plant","","000")</f>
        <v>Munich plant</v>
      </c>
      <c r="B269" s="2" t="str">
        <f xml:space="preserve"> _xll.EPMOlapMemberO("[PRDID].[].[999-68017-0834]","","999-68017-0834","","000")</f>
        <v>999-68017-0834</v>
      </c>
      <c r="C269" s="2" t="str">
        <f xml:space="preserve"> _xll.EPMOlapMemberO("[BRAND].[].[ PLAIN PACKAGING]",""," PLAIN PACKAGING","","000")</f>
        <v xml:space="preserve"> PLAIN PACKAGING</v>
      </c>
      <c r="D269" s="2" t="str">
        <f xml:space="preserve"> _xll.EPMOlapMemberO("[AM2MARKETDESCR].[].[GREAT BRITAIN]","","GREAT BRITAIN","","000")</f>
        <v>GREAT BRITAIN</v>
      </c>
      <c r="E269" s="2" t="str">
        <f xml:space="preserve"> _xll.EPMOlapMemberO("[AM2PARENTCUSTGROUP].[].[__NULL]","","(None)","","000")</f>
        <v>(None)</v>
      </c>
      <c r="F269" s="2" t="str">
        <f xml:space="preserve"> _xll.EPMOlapMemberO("[KEY_FIGURES].[].[INITIALINVENTORY]","","Stock","","000")</f>
        <v>Stock</v>
      </c>
      <c r="AQ269" s="2">
        <v>201.6</v>
      </c>
    </row>
    <row r="270" spans="1:52" x14ac:dyDescent="0.35">
      <c r="A270" s="2" t="str">
        <f xml:space="preserve"> _xll.EPMOlapMemberO("[LOCID].[].[Munich plant]","","Munich plant","","000")</f>
        <v>Munich plant</v>
      </c>
      <c r="B270" s="2" t="str">
        <f xml:space="preserve"> _xll.EPMOlapMemberO("[PRDID].[].[999-68017-0834]","","999-68017-0834","","000")</f>
        <v>999-68017-0834</v>
      </c>
      <c r="C270" s="2" t="str">
        <f xml:space="preserve"> _xll.EPMOlapMemberO("[BRAND].[].[ PLAIN PACKAGING]",""," PLAIN PACKAGING","","000")</f>
        <v xml:space="preserve"> PLAIN PACKAGING</v>
      </c>
      <c r="D270" s="2" t="str">
        <f xml:space="preserve"> _xll.EPMOlapMemberO("[AM2MARKETDESCR].[].[GREAT BRITAIN]","","GREAT BRITAIN","","000")</f>
        <v>GREAT BRITAIN</v>
      </c>
      <c r="E270" s="2" t="str">
        <f xml:space="preserve"> _xll.EPMOlapMemberO("[AM2PARENTCUSTGROUP].[].[__NULL]","","(None)","","000")</f>
        <v>(None)</v>
      </c>
      <c r="F270" s="2" t="str">
        <f xml:space="preserve"> _xll.EPMOlapMemberO("[KEY_FIGURES].[].[CONFIRMEDPRODUCTION]","","Production Order","","000")</f>
        <v>Production Order</v>
      </c>
      <c r="AS270" s="2">
        <v>164.5</v>
      </c>
      <c r="AV270" s="2">
        <v>504.5</v>
      </c>
      <c r="AX270" s="2">
        <v>266</v>
      </c>
      <c r="AZ270" s="2">
        <v>255.5</v>
      </c>
    </row>
    <row r="271" spans="1:52" x14ac:dyDescent="0.35">
      <c r="A271" s="2" t="str">
        <f xml:space="preserve"> _xll.EPMOlapMemberO("[LOCID].[].[Munich plant]","","Munich plant","","000")</f>
        <v>Munich plant</v>
      </c>
      <c r="B271" s="2" t="str">
        <f xml:space="preserve"> _xll.EPMOlapMemberO("[PRDID].[].[999-68017-0835]","","999-68017-0835","","000")</f>
        <v>999-68017-0835</v>
      </c>
      <c r="C271" s="2" t="str">
        <f xml:space="preserve"> _xll.EPMOlapMemberO("[BRAND].[].[ PLAIN PACKAGING]",""," PLAIN PACKAGING","","000")</f>
        <v xml:space="preserve"> PLAIN PACKAGING</v>
      </c>
      <c r="D271" s="2" t="str">
        <f xml:space="preserve"> _xll.EPMOlapMemberO("[AM2MARKETDESCR].[].[GREAT BRITAIN]","","GREAT BRITAIN","","000")</f>
        <v>GREAT BRITAIN</v>
      </c>
      <c r="E271" s="2" t="str">
        <f xml:space="preserve"> _xll.EPMOlapMemberO("[AM2PARENTCUSTGROUP].[].[__NULL]","","(None)","","000")</f>
        <v>(None)</v>
      </c>
      <c r="F271" s="2" t="str">
        <f xml:space="preserve"> _xll.EPMOlapMemberO("[KEY_FIGURES].[].[INITIALINVENTORY]","","Stock","","000")</f>
        <v>Stock</v>
      </c>
      <c r="AQ271" s="2">
        <v>1108.8</v>
      </c>
    </row>
    <row r="272" spans="1:52" x14ac:dyDescent="0.35">
      <c r="A272" s="2" t="str">
        <f xml:space="preserve"> _xll.EPMOlapMemberO("[LOCID].[].[Munich plant]","","Munich plant","","000")</f>
        <v>Munich plant</v>
      </c>
      <c r="B272" s="2" t="str">
        <f xml:space="preserve"> _xll.EPMOlapMemberO("[PRDID].[].[999-68017-0835]","","999-68017-0835","","000")</f>
        <v>999-68017-0835</v>
      </c>
      <c r="C272" s="2" t="str">
        <f xml:space="preserve"> _xll.EPMOlapMemberO("[BRAND].[].[ PLAIN PACKAGING]",""," PLAIN PACKAGING","","000")</f>
        <v xml:space="preserve"> PLAIN PACKAGING</v>
      </c>
      <c r="D272" s="2" t="str">
        <f xml:space="preserve"> _xll.EPMOlapMemberO("[AM2MARKETDESCR].[].[GREAT BRITAIN]","","GREAT BRITAIN","","000")</f>
        <v>GREAT BRITAIN</v>
      </c>
      <c r="E272" s="2" t="str">
        <f xml:space="preserve"> _xll.EPMOlapMemberO("[AM2PARENTCUSTGROUP].[].[__NULL]","","(None)","","000")</f>
        <v>(None)</v>
      </c>
      <c r="F272" s="2" t="str">
        <f xml:space="preserve"> _xll.EPMOlapMemberO("[KEY_FIGURES].[].[CONFIRMEDPRODUCTION]","","Production Order","","000")</f>
        <v>Production Order</v>
      </c>
      <c r="AQ272" s="2">
        <v>1612.8</v>
      </c>
      <c r="AS272" s="2">
        <v>2393.3130000000001</v>
      </c>
      <c r="AU272" s="2">
        <v>1830.5</v>
      </c>
      <c r="AX272" s="2">
        <v>3253.5</v>
      </c>
      <c r="AZ272" s="2">
        <v>2156</v>
      </c>
    </row>
    <row r="273" spans="1:52" x14ac:dyDescent="0.35">
      <c r="A273" s="2" t="str">
        <f xml:space="preserve"> _xll.EPMOlapMemberO("[LOCID].[].[Munich plant]","","Munich plant","","000")</f>
        <v>Munich plant</v>
      </c>
      <c r="B273" s="2" t="str">
        <f xml:space="preserve"> _xll.EPMOlapMemberO("[PRDID].[].[999-68017-0836]","","999-68017-0836","","000")</f>
        <v>999-68017-0836</v>
      </c>
      <c r="C273" s="2" t="str">
        <f xml:space="preserve"> _xll.EPMOlapMemberO("[BRAND].[].[ PLAIN PACKAGING]",""," PLAIN PACKAGING","","000")</f>
        <v xml:space="preserve"> PLAIN PACKAGING</v>
      </c>
      <c r="D273" s="2" t="str">
        <f xml:space="preserve"> _xll.EPMOlapMemberO("[AM2MARKETDESCR].[].[GREAT BRITAIN]","","GREAT BRITAIN","","000")</f>
        <v>GREAT BRITAIN</v>
      </c>
      <c r="E273" s="2" t="str">
        <f xml:space="preserve"> _xll.EPMOlapMemberO("[AM2PARENTCUSTGROUP].[].[__NULL]","","(None)","","000")</f>
        <v>(None)</v>
      </c>
      <c r="F273" s="2" t="str">
        <f xml:space="preserve"> _xll.EPMOlapMemberO("[KEY_FIGURES].[].[CONFIRMEDPRODUCTION]","","Production Order","","000")</f>
        <v>Production Order</v>
      </c>
      <c r="AS273" s="2">
        <v>126</v>
      </c>
      <c r="AW273" s="2">
        <v>262.5</v>
      </c>
    </row>
    <row r="274" spans="1:52" x14ac:dyDescent="0.35">
      <c r="A274" s="2" t="str">
        <f xml:space="preserve"> _xll.EPMOlapMemberO("[LOCID].[].[Munich plant]","","Munich plant","","000")</f>
        <v>Munich plant</v>
      </c>
      <c r="B274" s="2" t="str">
        <f xml:space="preserve"> _xll.EPMOlapMemberO("[PRDID].[].[999-68017-0837]","","999-68017-0837","","000")</f>
        <v>999-68017-0837</v>
      </c>
      <c r="C274" s="2" t="str">
        <f xml:space="preserve"> _xll.EPMOlapMemberO("[BRAND].[].[ PLAIN PACKAGING]",""," PLAIN PACKAGING","","000")</f>
        <v xml:space="preserve"> PLAIN PACKAGING</v>
      </c>
      <c r="D274" s="2" t="str">
        <f xml:space="preserve"> _xll.EPMOlapMemberO("[AM2MARKETDESCR].[].[GREAT BRITAIN]","","GREAT BRITAIN","","000")</f>
        <v>GREAT BRITAIN</v>
      </c>
      <c r="E274" s="2" t="str">
        <f xml:space="preserve"> _xll.EPMOlapMemberO("[AM2PARENTCUSTGROUP].[].[__NULL]","","(None)","","000")</f>
        <v>(None)</v>
      </c>
      <c r="F274" s="2" t="str">
        <f xml:space="preserve"> _xll.EPMOlapMemberO("[KEY_FIGURES].[].[CONFIRMEDPRODUCTION]","","Production Order","","000")</f>
        <v>Production Order</v>
      </c>
      <c r="AQ274" s="2">
        <v>6048</v>
      </c>
      <c r="AR274" s="2">
        <v>6394.5</v>
      </c>
      <c r="AU274" s="2">
        <v>1537</v>
      </c>
    </row>
    <row r="275" spans="1:52" x14ac:dyDescent="0.35">
      <c r="A275" s="2" t="str">
        <f xml:space="preserve"> _xll.EPMOlapMemberO("[LOCID].[].[Munich plant]","","Munich plant","","000")</f>
        <v>Munich plant</v>
      </c>
      <c r="B275" s="2" t="str">
        <f xml:space="preserve"> _xll.EPMOlapMemberO("[PRDID].[].[999-68017-0843]","","999-68017-0843","","000")</f>
        <v>999-68017-0843</v>
      </c>
      <c r="C275" s="2" t="str">
        <f xml:space="preserve"> _xll.EPMOlapMemberO("[BRAND].[].[ PLAIN PACKAGING]",""," PLAIN PACKAGING","","000")</f>
        <v xml:space="preserve"> PLAIN PACKAGING</v>
      </c>
      <c r="D275" s="2" t="str">
        <f xml:space="preserve"> _xll.EPMOlapMemberO("[AM2MARKETDESCR].[].[CHANNEL ISLAND]","","CHANNEL ISLAND","","000")</f>
        <v>CHANNEL ISLAND</v>
      </c>
      <c r="E275" s="2" t="str">
        <f xml:space="preserve"> _xll.EPMOlapMemberO("[AM2PARENTCUSTGROUP].[].[__NULL]","","(None)","","000")</f>
        <v>(None)</v>
      </c>
      <c r="F275" s="2" t="str">
        <f xml:space="preserve"> _xll.EPMOlapMemberO("[KEY_FIGURES].[].[INITIALINVENTORY]","","Stock","","000")</f>
        <v>Stock</v>
      </c>
      <c r="AQ275" s="2">
        <v>100.8</v>
      </c>
    </row>
    <row r="276" spans="1:52" x14ac:dyDescent="0.35">
      <c r="A276" s="2" t="str">
        <f xml:space="preserve"> _xll.EPMOlapMemberO("[LOCID].[].[Munich plant]","","Munich plant","","000")</f>
        <v>Munich plant</v>
      </c>
      <c r="B276" s="2" t="str">
        <f xml:space="preserve"> _xll.EPMOlapMemberO("[PRDID].[].[999-68017-0843]","","999-68017-0843","","000")</f>
        <v>999-68017-0843</v>
      </c>
      <c r="C276" s="2" t="str">
        <f xml:space="preserve"> _xll.EPMOlapMemberO("[BRAND].[].[ PLAIN PACKAGING]",""," PLAIN PACKAGING","","000")</f>
        <v xml:space="preserve"> PLAIN PACKAGING</v>
      </c>
      <c r="D276" s="2" t="str">
        <f xml:space="preserve"> _xll.EPMOlapMemberO("[AM2MARKETDESCR].[].[CHANNEL ISLAND]","","CHANNEL ISLAND","","000")</f>
        <v>CHANNEL ISLAND</v>
      </c>
      <c r="E276" s="2" t="str">
        <f xml:space="preserve"> _xll.EPMOlapMemberO("[AM2PARENTCUSTGROUP].[].[__NULL]","","(None)","","000")</f>
        <v>(None)</v>
      </c>
      <c r="F276" s="2" t="str">
        <f xml:space="preserve"> _xll.EPMOlapMemberO("[KEY_FIGURES].[].[CONFIRMEDPRODUCTION]","","Production Order","","000")</f>
        <v>Production Order</v>
      </c>
      <c r="AR276" s="2">
        <v>130.5</v>
      </c>
      <c r="AU276" s="2">
        <v>43.5</v>
      </c>
      <c r="AX276" s="2">
        <v>43.5</v>
      </c>
    </row>
    <row r="277" spans="1:52" x14ac:dyDescent="0.35">
      <c r="A277" s="2" t="str">
        <f xml:space="preserve"> _xll.EPMOlapMemberO("[LOCID].[].[Munich plant]","","Munich plant","","000")</f>
        <v>Munich plant</v>
      </c>
      <c r="B277" s="2" t="str">
        <f xml:space="preserve"> _xll.EPMOlapMemberO("[PRDID].[].[999-68017-0844]","","999-68017-0844","","000")</f>
        <v>999-68017-0844</v>
      </c>
      <c r="C277" s="2" t="str">
        <f xml:space="preserve"> _xll.EPMOlapMemberO("[BRAND].[].[ PLAIN PACKAGING]",""," PLAIN PACKAGING","","000")</f>
        <v xml:space="preserve"> PLAIN PACKAGING</v>
      </c>
      <c r="D277" s="2" t="str">
        <f xml:space="preserve"> _xll.EPMOlapMemberO("[AM2MARKETDESCR].[].[CHANNEL ISLAND]","","CHANNEL ISLAND","","000")</f>
        <v>CHANNEL ISLAND</v>
      </c>
      <c r="E277" s="2" t="str">
        <f xml:space="preserve"> _xll.EPMOlapMemberO("[AM2PARENTCUSTGROUP].[].[__NULL]","","(None)","","000")</f>
        <v>(None)</v>
      </c>
      <c r="F277" s="2" t="str">
        <f xml:space="preserve"> _xll.EPMOlapMemberO("[KEY_FIGURES].[].[CONFIRMEDPRODUCTION]","","Production Order","","000")</f>
        <v>Production Order</v>
      </c>
      <c r="AR277" s="2">
        <v>111.167</v>
      </c>
      <c r="AV277" s="2">
        <v>58</v>
      </c>
    </row>
    <row r="278" spans="1:52" x14ac:dyDescent="0.35">
      <c r="A278" s="2" t="str">
        <f xml:space="preserve"> _xll.EPMOlapMemberO("[LOCID].[].[Munich plant]","","Munich plant","","000")</f>
        <v>Munich plant</v>
      </c>
      <c r="B278" s="2" t="str">
        <f xml:space="preserve"> _xll.EPMOlapMemberO("[PRDID].[].[999-68017-0845]","","999-68017-0845","","000")</f>
        <v>999-68017-0845</v>
      </c>
      <c r="C278" s="2" t="str">
        <f xml:space="preserve"> _xll.EPMOlapMemberO("[BRAND].[].[ PLAIN PACKAGING]",""," PLAIN PACKAGING","","000")</f>
        <v xml:space="preserve"> PLAIN PACKAGING</v>
      </c>
      <c r="D278" s="2" t="str">
        <f xml:space="preserve"> _xll.EPMOlapMemberO("[AM2MARKETDESCR].[].[GREAT BRITAIN DUTY FREE]","","GREAT BRITAIN DUTY FREE","","000")</f>
        <v>GREAT BRITAIN DUTY FREE</v>
      </c>
      <c r="E278" s="2" t="str">
        <f xml:space="preserve"> _xll.EPMOlapMemberO("[AM2PARENTCUSTGROUP].[].[__NULL]","","(None)","","000")</f>
        <v>(None)</v>
      </c>
      <c r="F278" s="2" t="str">
        <f xml:space="preserve"> _xll.EPMOlapMemberO("[KEY_FIGURES].[].[CONFIRMEDPRODUCTION]","","Production Order","","000")</f>
        <v>Production Order</v>
      </c>
      <c r="AR278" s="2">
        <v>76.667000000000002</v>
      </c>
      <c r="AU278" s="2">
        <v>50</v>
      </c>
      <c r="AX278" s="2">
        <v>50</v>
      </c>
    </row>
    <row r="279" spans="1:52" x14ac:dyDescent="0.35">
      <c r="A279" s="2" t="str">
        <f xml:space="preserve"> _xll.EPMOlapMemberO("[LOCID].[].[Munich plant]","","Munich plant","","000")</f>
        <v>Munich plant</v>
      </c>
      <c r="B279" s="2" t="str">
        <f xml:space="preserve"> _xll.EPMOlapMemberO("[PRDID].[].[999-68017-0850]","","999-68017-0850","","000")</f>
        <v>999-68017-0850</v>
      </c>
      <c r="C279" s="2" t="str">
        <f xml:space="preserve"> _xll.EPMOlapMemberO("[BRAND].[].[ PLAIN PACKAGING]",""," PLAIN PACKAGING","","000")</f>
        <v xml:space="preserve"> PLAIN PACKAGING</v>
      </c>
      <c r="D279" s="2" t="str">
        <f xml:space="preserve"> _xll.EPMOlapMemberO("[AM2MARKETDESCR].[].[HUNGARY]","","HUNGARY","","000")</f>
        <v>HUNGARY</v>
      </c>
      <c r="E279" s="2" t="str">
        <f xml:space="preserve"> _xll.EPMOlapMemberO("[AM2PARENTCUSTGROUP].[].[__NULL]","","(None)","","000")</f>
        <v>(None)</v>
      </c>
      <c r="F279" s="2" t="str">
        <f xml:space="preserve"> _xll.EPMOlapMemberO("[KEY_FIGURES].[].[CONFIRMEDPRODUCTION]","","Production Order","","000")</f>
        <v>Production Order</v>
      </c>
      <c r="AT279" s="2">
        <v>71.855999999999995</v>
      </c>
      <c r="AW279" s="2">
        <v>58</v>
      </c>
      <c r="AZ279" s="2">
        <v>58</v>
      </c>
    </row>
    <row r="280" spans="1:52" x14ac:dyDescent="0.35">
      <c r="A280" s="2" t="str">
        <f xml:space="preserve"> _xll.EPMOlapMemberO("[LOCID].[].[Munich plant]","","Munich plant","","000")</f>
        <v>Munich plant</v>
      </c>
      <c r="B280" s="2" t="str">
        <f xml:space="preserve"> _xll.EPMOlapMemberO("[PRDID].[].[999-68017-0852]","","999-68017-0852","","000")</f>
        <v>999-68017-0852</v>
      </c>
      <c r="C280" s="2" t="str">
        <f xml:space="preserve"> _xll.EPMOlapMemberO("[BRAND].[].[ PLAIN PACKAGING]",""," PLAIN PACKAGING","","000")</f>
        <v xml:space="preserve"> PLAIN PACKAGING</v>
      </c>
      <c r="D280" s="2" t="str">
        <f xml:space="preserve"> _xll.EPMOlapMemberO("[AM2MARKETDESCR].[].[HUNGARY]","","HUNGARY","","000")</f>
        <v>HUNGARY</v>
      </c>
      <c r="E280" s="2" t="str">
        <f xml:space="preserve"> _xll.EPMOlapMemberO("[AM2PARENTCUSTGROUP].[].[__NULL]","","(None)","","000")</f>
        <v>(None)</v>
      </c>
      <c r="F280" s="2" t="str">
        <f xml:space="preserve"> _xll.EPMOlapMemberO("[KEY_FIGURES].[].[CONFIRMEDPRODUCTION]","","Production Order","","000")</f>
        <v>Production Order</v>
      </c>
      <c r="AR280" s="2">
        <v>201.6</v>
      </c>
      <c r="AU280" s="2">
        <v>53.6</v>
      </c>
      <c r="AY280" s="2">
        <v>87</v>
      </c>
    </row>
    <row r="281" spans="1:52" x14ac:dyDescent="0.35">
      <c r="A281" s="2" t="str">
        <f xml:space="preserve"> _xll.EPMOlapMemberO("[LOCID].[].[Munich plant]","","Munich plant","","000")</f>
        <v>Munich plant</v>
      </c>
      <c r="B281" s="2" t="str">
        <f xml:space="preserve"> _xll.EPMOlapMemberO("[PRDID].[].[999-68017-0853]","","999-68017-0853","","000")</f>
        <v>999-68017-0853</v>
      </c>
      <c r="C281" s="2" t="str">
        <f xml:space="preserve"> _xll.EPMOlapMemberO("[BRAND].[].[ PLAIN PACKAGING]",""," PLAIN PACKAGING","","000")</f>
        <v xml:space="preserve"> PLAIN PACKAGING</v>
      </c>
      <c r="D281" s="2" t="str">
        <f xml:space="preserve"> _xll.EPMOlapMemberO("[AM2MARKETDESCR].[].[HUNGARY]","","HUNGARY","","000")</f>
        <v>HUNGARY</v>
      </c>
      <c r="E281" s="2" t="str">
        <f xml:space="preserve"> _xll.EPMOlapMemberO("[AM2PARENTCUSTGROUP].[].[__NULL]","","(None)","","000")</f>
        <v>(None)</v>
      </c>
      <c r="F281" s="2" t="str">
        <f xml:space="preserve"> _xll.EPMOlapMemberO("[KEY_FIGURES].[].[INITIALINVENTORY]","","Stock","","000")</f>
        <v>Stock</v>
      </c>
      <c r="AQ281" s="2">
        <v>105</v>
      </c>
    </row>
    <row r="282" spans="1:52" x14ac:dyDescent="0.35">
      <c r="A282" s="2" t="str">
        <f xml:space="preserve"> _xll.EPMOlapMemberO("[LOCID].[].[Munich plant]","","Munich plant","","000")</f>
        <v>Munich plant</v>
      </c>
      <c r="B282" s="2" t="str">
        <f xml:space="preserve"> _xll.EPMOlapMemberO("[PRDID].[].[999-68017-0853]","","999-68017-0853","","000")</f>
        <v>999-68017-0853</v>
      </c>
      <c r="C282" s="2" t="str">
        <f xml:space="preserve"> _xll.EPMOlapMemberO("[BRAND].[].[ PLAIN PACKAGING]",""," PLAIN PACKAGING","","000")</f>
        <v xml:space="preserve"> PLAIN PACKAGING</v>
      </c>
      <c r="D282" s="2" t="str">
        <f xml:space="preserve"> _xll.EPMOlapMemberO("[AM2MARKETDESCR].[].[HUNGARY]","","HUNGARY","","000")</f>
        <v>HUNGARY</v>
      </c>
      <c r="E282" s="2" t="str">
        <f xml:space="preserve"> _xll.EPMOlapMemberO("[AM2PARENTCUSTGROUP].[].[__NULL]","","(None)","","000")</f>
        <v>(None)</v>
      </c>
      <c r="F282" s="2" t="str">
        <f xml:space="preserve"> _xll.EPMOlapMemberO("[KEY_FIGURES].[].[CONFIRMEDPRODUCTION]","","Production Order","","000")</f>
        <v>Production Order</v>
      </c>
      <c r="AR282" s="2">
        <v>75</v>
      </c>
      <c r="AW282" s="2">
        <v>45</v>
      </c>
      <c r="AZ282" s="2">
        <v>40</v>
      </c>
    </row>
    <row r="283" spans="1:52" x14ac:dyDescent="0.35">
      <c r="A283" s="2" t="str">
        <f xml:space="preserve"> _xll.EPMOlapMemberO("[LOCID].[].[Munich plant]","","Munich plant","","000")</f>
        <v>Munich plant</v>
      </c>
      <c r="B283" s="2" t="str">
        <f xml:space="preserve"> _xll.EPMOlapMemberO("[PRDID].[].[999-68017-0854]","","999-68017-0854","","000")</f>
        <v>999-68017-0854</v>
      </c>
      <c r="C283" s="2" t="str">
        <f xml:space="preserve"> _xll.EPMOlapMemberO("[BRAND].[].[ PLAIN PACKAGING]",""," PLAIN PACKAGING","","000")</f>
        <v xml:space="preserve"> PLAIN PACKAGING</v>
      </c>
      <c r="D283" s="2" t="str">
        <f xml:space="preserve"> _xll.EPMOlapMemberO("[AM2MARKETDESCR].[].[HUNGARY]","","HUNGARY","","000")</f>
        <v>HUNGARY</v>
      </c>
      <c r="E283" s="2" t="str">
        <f xml:space="preserve"> _xll.EPMOlapMemberO("[AM2PARENTCUSTGROUP].[].[__NULL]","","(None)","","000")</f>
        <v>(None)</v>
      </c>
      <c r="F283" s="2" t="str">
        <f xml:space="preserve"> _xll.EPMOlapMemberO("[KEY_FIGURES].[].[CONFIRMEDPRODUCTION]","","Production Order","","000")</f>
        <v>Production Order</v>
      </c>
      <c r="AS283" s="2">
        <v>81.099999999999994</v>
      </c>
      <c r="AW283" s="2">
        <v>58</v>
      </c>
      <c r="AZ283" s="2">
        <v>58</v>
      </c>
    </row>
    <row r="284" spans="1:52" x14ac:dyDescent="0.35">
      <c r="A284" s="2" t="str">
        <f xml:space="preserve"> _xll.EPMOlapMemberO("[LOCID].[].[Munich plant]","","Munich plant","","000")</f>
        <v>Munich plant</v>
      </c>
      <c r="B284" s="2" t="str">
        <f xml:space="preserve"> _xll.EPMOlapMemberO("[PRDID].[].[999-68017-0858]","","999-68017-0858","","000")</f>
        <v>999-68017-0858</v>
      </c>
      <c r="C284" s="2" t="str">
        <f xml:space="preserve"> _xll.EPMOlapMemberO("[BRAND].[].[ PLAIN PACKAGING]",""," PLAIN PACKAGING","","000")</f>
        <v xml:space="preserve"> PLAIN PACKAGING</v>
      </c>
      <c r="D284" s="2" t="str">
        <f xml:space="preserve"> _xll.EPMOlapMemberO("[AM2MARKETDESCR].[].[CHANNEL ISLAND]","","CHANNEL ISLAND","","000")</f>
        <v>CHANNEL ISLAND</v>
      </c>
      <c r="E284" s="2" t="str">
        <f xml:space="preserve"> _xll.EPMOlapMemberO("[AM2PARENTCUSTGROUP].[].[__NULL]","","(None)","","000")</f>
        <v>(None)</v>
      </c>
      <c r="F284" s="2" t="str">
        <f xml:space="preserve"> _xll.EPMOlapMemberO("[KEY_FIGURES].[].[CONFIRMEDPRODUCTION]","","Production Order","","000")</f>
        <v>Production Order</v>
      </c>
      <c r="AU284" s="2">
        <v>87</v>
      </c>
    </row>
    <row r="285" spans="1:52" x14ac:dyDescent="0.35">
      <c r="A285" s="2" t="str">
        <f xml:space="preserve"> _xll.EPMOlapMemberO("[LOCID].[].[Munich plant]","","Munich plant","","000")</f>
        <v>Munich plant</v>
      </c>
      <c r="B285" s="2" t="str">
        <f xml:space="preserve"> _xll.EPMOlapMemberO("[PRDID].[].[999-68017-0859]","","999-68017-0859","","000")</f>
        <v>999-68017-0859</v>
      </c>
      <c r="C285" s="2" t="str">
        <f xml:space="preserve"> _xll.EPMOlapMemberO("[BRAND].[].[ PLAIN PACKAGING]",""," PLAIN PACKAGING","","000")</f>
        <v xml:space="preserve"> PLAIN PACKAGING</v>
      </c>
      <c r="D285" s="2" t="str">
        <f xml:space="preserve"> _xll.EPMOlapMemberO("[AM2MARKETDESCR].[].[NORTHERN IRELAND]","","NORTHERN IRELAND","","000")</f>
        <v>NORTHERN IRELAND</v>
      </c>
      <c r="E285" s="2" t="str">
        <f xml:space="preserve"> _xll.EPMOlapMemberO("[AM2PARENTCUSTGROUP].[].[__NULL]","","(None)","","000")</f>
        <v>(None)</v>
      </c>
      <c r="F285" s="2" t="str">
        <f xml:space="preserve"> _xll.EPMOlapMemberO("[KEY_FIGURES].[].[CONFIRMEDPRODUCTION]","","Production Order","","000")</f>
        <v>Production Order</v>
      </c>
      <c r="AS285" s="2">
        <v>232</v>
      </c>
      <c r="AW285" s="2">
        <v>116</v>
      </c>
    </row>
    <row r="286" spans="1:52" x14ac:dyDescent="0.35">
      <c r="A286" s="2" t="str">
        <f xml:space="preserve"> _xll.EPMOlapMemberO("[LOCID].[].[Munich plant]","","Munich plant","","000")</f>
        <v>Munich plant</v>
      </c>
      <c r="B286" s="2" t="str">
        <f xml:space="preserve"> _xll.EPMOlapMemberO("[PRDID].[].[999-68017-0860]","","999-68017-0860","","000")</f>
        <v>999-68017-0860</v>
      </c>
      <c r="C286" s="2" t="str">
        <f xml:space="preserve"> _xll.EPMOlapMemberO("[BRAND].[].[ PLAIN PACKAGING]",""," PLAIN PACKAGING","","000")</f>
        <v xml:space="preserve"> PLAIN PACKAGING</v>
      </c>
      <c r="D286" s="2" t="str">
        <f xml:space="preserve"> _xll.EPMOlapMemberO("[AM2MARKETDESCR].[].[NORTHERN IRELAND]","","NORTHERN IRELAND","","000")</f>
        <v>NORTHERN IRELAND</v>
      </c>
      <c r="E286" s="2" t="str">
        <f xml:space="preserve"> _xll.EPMOlapMemberO("[AM2PARENTCUSTGROUP].[].[__NULL]","","(None)","","000")</f>
        <v>(None)</v>
      </c>
      <c r="F286" s="2" t="str">
        <f xml:space="preserve"> _xll.EPMOlapMemberO("[KEY_FIGURES].[].[INITIALINVENTORY]","","Stock","","000")</f>
        <v>Stock</v>
      </c>
      <c r="AQ286" s="2">
        <v>302.39999999999998</v>
      </c>
    </row>
    <row r="287" spans="1:52" x14ac:dyDescent="0.35">
      <c r="A287" s="2" t="str">
        <f xml:space="preserve"> _xll.EPMOlapMemberO("[LOCID].[].[Munich plant]","","Munich plant","","000")</f>
        <v>Munich plant</v>
      </c>
      <c r="B287" s="2" t="str">
        <f xml:space="preserve"> _xll.EPMOlapMemberO("[PRDID].[].[999-68017-0860]","","999-68017-0860","","000")</f>
        <v>999-68017-0860</v>
      </c>
      <c r="C287" s="2" t="str">
        <f xml:space="preserve"> _xll.EPMOlapMemberO("[BRAND].[].[ PLAIN PACKAGING]",""," PLAIN PACKAGING","","000")</f>
        <v xml:space="preserve"> PLAIN PACKAGING</v>
      </c>
      <c r="D287" s="2" t="str">
        <f xml:space="preserve"> _xll.EPMOlapMemberO("[AM2MARKETDESCR].[].[NORTHERN IRELAND]","","NORTHERN IRELAND","","000")</f>
        <v>NORTHERN IRELAND</v>
      </c>
      <c r="E287" s="2" t="str">
        <f xml:space="preserve"> _xll.EPMOlapMemberO("[AM2PARENTCUSTGROUP].[].[__NULL]","","(None)","","000")</f>
        <v>(None)</v>
      </c>
      <c r="F287" s="2" t="str">
        <f xml:space="preserve"> _xll.EPMOlapMemberO("[KEY_FIGURES].[].[CONFIRMEDPRODUCTION]","","Production Order","","000")</f>
        <v>Production Order</v>
      </c>
      <c r="AU287" s="2">
        <v>420.5</v>
      </c>
      <c r="AY287" s="2">
        <v>464</v>
      </c>
    </row>
    <row r="288" spans="1:52" x14ac:dyDescent="0.35">
      <c r="A288" s="2" t="str">
        <f xml:space="preserve"> _xll.EPMOlapMemberO("[LOCID].[].[Munich plant]","","Munich plant","","000")</f>
        <v>Munich plant</v>
      </c>
      <c r="B288" s="2" t="str">
        <f xml:space="preserve"> _xll.EPMOlapMemberO("[PRDID].[].[999-68017-0861]","","999-68017-0861","","000")</f>
        <v>999-68017-0861</v>
      </c>
      <c r="C288" s="2" t="str">
        <f xml:space="preserve"> _xll.EPMOlapMemberO("[BRAND].[].[ PLAIN PACKAGING]",""," PLAIN PACKAGING","","000")</f>
        <v xml:space="preserve"> PLAIN PACKAGING</v>
      </c>
      <c r="D288" s="2" t="str">
        <f xml:space="preserve"> _xll.EPMOlapMemberO("[AM2MARKETDESCR].[].[NORTHERN IRELAND]","","NORTHERN IRELAND","","000")</f>
        <v>NORTHERN IRELAND</v>
      </c>
      <c r="E288" s="2" t="str">
        <f xml:space="preserve"> _xll.EPMOlapMemberO("[AM2PARENTCUSTGROUP].[].[__NULL]","","(None)","","000")</f>
        <v>(None)</v>
      </c>
      <c r="F288" s="2" t="str">
        <f xml:space="preserve"> _xll.EPMOlapMemberO("[KEY_FIGURES].[].[INITIALINVENTORY]","","Stock","","000")</f>
        <v>Stock</v>
      </c>
      <c r="AQ288" s="2">
        <v>100.8</v>
      </c>
    </row>
    <row r="289" spans="1:52" x14ac:dyDescent="0.35">
      <c r="A289" s="2" t="str">
        <f xml:space="preserve"> _xll.EPMOlapMemberO("[LOCID].[].[Munich plant]","","Munich plant","","000")</f>
        <v>Munich plant</v>
      </c>
      <c r="B289" s="2" t="str">
        <f xml:space="preserve"> _xll.EPMOlapMemberO("[PRDID].[].[999-68017-0861]","","999-68017-0861","","000")</f>
        <v>999-68017-0861</v>
      </c>
      <c r="C289" s="2" t="str">
        <f xml:space="preserve"> _xll.EPMOlapMemberO("[BRAND].[].[ PLAIN PACKAGING]",""," PLAIN PACKAGING","","000")</f>
        <v xml:space="preserve"> PLAIN PACKAGING</v>
      </c>
      <c r="D289" s="2" t="str">
        <f xml:space="preserve"> _xll.EPMOlapMemberO("[AM2MARKETDESCR].[].[NORTHERN IRELAND]","","NORTHERN IRELAND","","000")</f>
        <v>NORTHERN IRELAND</v>
      </c>
      <c r="E289" s="2" t="str">
        <f xml:space="preserve"> _xll.EPMOlapMemberO("[AM2PARENTCUSTGROUP].[].[__NULL]","","(None)","","000")</f>
        <v>(None)</v>
      </c>
      <c r="F289" s="2" t="str">
        <f xml:space="preserve"> _xll.EPMOlapMemberO("[KEY_FIGURES].[].[CONFIRMEDPRODUCTION]","","Production Order","","000")</f>
        <v>Production Order</v>
      </c>
      <c r="AS289" s="2">
        <v>87</v>
      </c>
      <c r="AX289" s="2">
        <v>29</v>
      </c>
    </row>
    <row r="290" spans="1:52" x14ac:dyDescent="0.35">
      <c r="A290" s="2" t="str">
        <f xml:space="preserve"> _xll.EPMOlapMemberO("[LOCID].[].[Munich plant]","","Munich plant","","000")</f>
        <v>Munich plant</v>
      </c>
      <c r="B290" s="2" t="str">
        <f xml:space="preserve"> _xll.EPMOlapMemberO("[PRDID].[].[999-68017-0862]","","999-68017-0862","","000")</f>
        <v>999-68017-0862</v>
      </c>
      <c r="C290" s="2" t="str">
        <f xml:space="preserve"> _xll.EPMOlapMemberO("[BRAND].[].[ PLAIN PACKAGING]",""," PLAIN PACKAGING","","000")</f>
        <v xml:space="preserve"> PLAIN PACKAGING</v>
      </c>
      <c r="D290" s="2" t="str">
        <f xml:space="preserve"> _xll.EPMOlapMemberO("[AM2MARKETDESCR].[].[NORTHERN IRELAND]","","NORTHERN IRELAND","","000")</f>
        <v>NORTHERN IRELAND</v>
      </c>
      <c r="E290" s="2" t="str">
        <f xml:space="preserve"> _xll.EPMOlapMemberO("[AM2PARENTCUSTGROUP].[].[__NULL]","","(None)","","000")</f>
        <v>(None)</v>
      </c>
      <c r="F290" s="2" t="str">
        <f xml:space="preserve"> _xll.EPMOlapMemberO("[KEY_FIGURES].[].[INITIALINVENTORY]","","Stock","","000")</f>
        <v>Stock</v>
      </c>
      <c r="AQ290" s="2">
        <v>100.8</v>
      </c>
    </row>
    <row r="291" spans="1:52" x14ac:dyDescent="0.35">
      <c r="A291" s="2" t="str">
        <f xml:space="preserve"> _xll.EPMOlapMemberO("[LOCID].[].[Munich plant]","","Munich plant","","000")</f>
        <v>Munich plant</v>
      </c>
      <c r="B291" s="2" t="str">
        <f xml:space="preserve"> _xll.EPMOlapMemberO("[PRDID].[].[999-68017-0862]","","999-68017-0862","","000")</f>
        <v>999-68017-0862</v>
      </c>
      <c r="C291" s="2" t="str">
        <f xml:space="preserve"> _xll.EPMOlapMemberO("[BRAND].[].[ PLAIN PACKAGING]",""," PLAIN PACKAGING","","000")</f>
        <v xml:space="preserve"> PLAIN PACKAGING</v>
      </c>
      <c r="D291" s="2" t="str">
        <f xml:space="preserve"> _xll.EPMOlapMemberO("[AM2MARKETDESCR].[].[NORTHERN IRELAND]","","NORTHERN IRELAND","","000")</f>
        <v>NORTHERN IRELAND</v>
      </c>
      <c r="E291" s="2" t="str">
        <f xml:space="preserve"> _xll.EPMOlapMemberO("[AM2PARENTCUSTGROUP].[].[__NULL]","","(None)","","000")</f>
        <v>(None)</v>
      </c>
      <c r="F291" s="2" t="str">
        <f xml:space="preserve"> _xll.EPMOlapMemberO("[KEY_FIGURES].[].[CONFIRMEDPRODUCTION]","","Production Order","","000")</f>
        <v>Production Order</v>
      </c>
      <c r="AR291" s="2">
        <v>217.5</v>
      </c>
      <c r="AU291" s="2">
        <v>72.5</v>
      </c>
      <c r="AX291" s="2">
        <v>72.5</v>
      </c>
    </row>
    <row r="292" spans="1:52" x14ac:dyDescent="0.35">
      <c r="A292" s="2" t="str">
        <f xml:space="preserve"> _xll.EPMOlapMemberO("[LOCID].[].[Munich plant]","","Munich plant","","000")</f>
        <v>Munich plant</v>
      </c>
      <c r="B292" s="2" t="str">
        <f xml:space="preserve"> _xll.EPMOlapMemberO("[PRDID].[].[999-68017-0863]","","999-68017-0863","","000")</f>
        <v>999-68017-0863</v>
      </c>
      <c r="C292" s="2" t="str">
        <f xml:space="preserve"> _xll.EPMOlapMemberO("[BRAND].[].[ PLAIN PACKAGING]",""," PLAIN PACKAGING","","000")</f>
        <v xml:space="preserve"> PLAIN PACKAGING</v>
      </c>
      <c r="D292" s="2" t="str">
        <f xml:space="preserve"> _xll.EPMOlapMemberO("[AM2MARKETDESCR].[].[NORTHERN IRELAND]","","NORTHERN IRELAND","","000")</f>
        <v>NORTHERN IRELAND</v>
      </c>
      <c r="E292" s="2" t="str">
        <f xml:space="preserve"> _xll.EPMOlapMemberO("[AM2PARENTCUSTGROUP].[].[__NULL]","","(None)","","000")</f>
        <v>(None)</v>
      </c>
      <c r="F292" s="2" t="str">
        <f xml:space="preserve"> _xll.EPMOlapMemberO("[KEY_FIGURES].[].[INITIALINVENTORY]","","Stock","","000")</f>
        <v>Stock</v>
      </c>
      <c r="AQ292" s="2">
        <v>302.39999999999998</v>
      </c>
    </row>
    <row r="293" spans="1:52" x14ac:dyDescent="0.35">
      <c r="A293" s="2" t="str">
        <f xml:space="preserve"> _xll.EPMOlapMemberO("[LOCID].[].[Munich plant]","","Munich plant","","000")</f>
        <v>Munich plant</v>
      </c>
      <c r="B293" s="2" t="str">
        <f xml:space="preserve"> _xll.EPMOlapMemberO("[PRDID].[].[999-68017-0863]","","999-68017-0863","","000")</f>
        <v>999-68017-0863</v>
      </c>
      <c r="C293" s="2" t="str">
        <f xml:space="preserve"> _xll.EPMOlapMemberO("[BRAND].[].[ PLAIN PACKAGING]",""," PLAIN PACKAGING","","000")</f>
        <v xml:space="preserve"> PLAIN PACKAGING</v>
      </c>
      <c r="D293" s="2" t="str">
        <f xml:space="preserve"> _xll.EPMOlapMemberO("[AM2MARKETDESCR].[].[NORTHERN IRELAND]","","NORTHERN IRELAND","","000")</f>
        <v>NORTHERN IRELAND</v>
      </c>
      <c r="E293" s="2" t="str">
        <f xml:space="preserve"> _xll.EPMOlapMemberO("[AM2PARENTCUSTGROUP].[].[__NULL]","","(None)","","000")</f>
        <v>(None)</v>
      </c>
      <c r="F293" s="2" t="str">
        <f xml:space="preserve"> _xll.EPMOlapMemberO("[KEY_FIGURES].[].[CONFIRMEDPRODUCTION]","","Production Order","","000")</f>
        <v>Production Order</v>
      </c>
      <c r="AS293" s="2">
        <v>1654.75</v>
      </c>
      <c r="AU293" s="2">
        <v>470.5</v>
      </c>
      <c r="AY293" s="2">
        <v>869.5</v>
      </c>
    </row>
    <row r="294" spans="1:52" x14ac:dyDescent="0.35">
      <c r="A294" s="2" t="str">
        <f xml:space="preserve"> _xll.EPMOlapMemberO("[LOCID].[].[Munich plant]","","Munich plant","","000")</f>
        <v>Munich plant</v>
      </c>
      <c r="B294" s="2" t="str">
        <f xml:space="preserve"> _xll.EPMOlapMemberO("[PRDID].[].[999-68017-0866]","","999-68017-0866","","000")</f>
        <v>999-68017-0866</v>
      </c>
      <c r="C294" s="2" t="str">
        <f xml:space="preserve"> _xll.EPMOlapMemberO("[BRAND].[].[ PLAIN PACKAGING]",""," PLAIN PACKAGING","","000")</f>
        <v xml:space="preserve"> PLAIN PACKAGING</v>
      </c>
      <c r="D294" s="2" t="str">
        <f xml:space="preserve"> _xll.EPMOlapMemberO("[AM2MARKETDESCR].[].[GREAT BRITAIN]","","GREAT BRITAIN","","000")</f>
        <v>GREAT BRITAIN</v>
      </c>
      <c r="E294" s="2" t="str">
        <f xml:space="preserve"> _xll.EPMOlapMemberO("[AM2PARENTCUSTGROUP].[].[__NULL]","","(None)","","000")</f>
        <v>(None)</v>
      </c>
      <c r="F294" s="2" t="str">
        <f xml:space="preserve"> _xll.EPMOlapMemberO("[KEY_FIGURES].[].[CONFIRMEDPRODUCTION]","","Production Order","","000")</f>
        <v>Production Order</v>
      </c>
      <c r="AT294" s="2">
        <v>507.5</v>
      </c>
    </row>
    <row r="295" spans="1:52" x14ac:dyDescent="0.35">
      <c r="A295" s="2" t="str">
        <f xml:space="preserve"> _xll.EPMOlapMemberO("[LOCID].[].[Munich plant]","","Munich plant","","000")</f>
        <v>Munich plant</v>
      </c>
      <c r="B295" s="2" t="str">
        <f xml:space="preserve"> _xll.EPMOlapMemberO("[PRDID].[].[999-68017-0867]","","999-68017-0867","","000")</f>
        <v>999-68017-0867</v>
      </c>
      <c r="C295" s="2" t="str">
        <f xml:space="preserve"> _xll.EPMOlapMemberO("[BRAND].[].[ PLAIN PACKAGING]",""," PLAIN PACKAGING","","000")</f>
        <v xml:space="preserve"> PLAIN PACKAGING</v>
      </c>
      <c r="D295" s="2" t="str">
        <f xml:space="preserve"> _xll.EPMOlapMemberO("[AM2MARKETDESCR].[].[NORTHERN IRELAND]","","NORTHERN IRELAND","","000")</f>
        <v>NORTHERN IRELAND</v>
      </c>
      <c r="E295" s="2" t="str">
        <f xml:space="preserve"> _xll.EPMOlapMemberO("[AM2PARENTCUSTGROUP].[].[__NULL]","","(None)","","000")</f>
        <v>(None)</v>
      </c>
      <c r="F295" s="2" t="str">
        <f xml:space="preserve"> _xll.EPMOlapMemberO("[KEY_FIGURES].[].[CONFIRMEDPRODUCTION]","","Production Order","","000")</f>
        <v>Production Order</v>
      </c>
      <c r="AS295" s="2">
        <v>203</v>
      </c>
    </row>
    <row r="296" spans="1:52" x14ac:dyDescent="0.35">
      <c r="A296" s="2" t="str">
        <f xml:space="preserve"> _xll.EPMOlapMemberO("[LOCID].[].[Munich plant]","","Munich plant","","000")</f>
        <v>Munich plant</v>
      </c>
      <c r="B296" s="2" t="str">
        <f xml:space="preserve"> _xll.EPMOlapMemberO("[PRDID].[].[999-68017-0868]","","999-68017-0868","","000")</f>
        <v>999-68017-0868</v>
      </c>
      <c r="C296" s="2" t="str">
        <f xml:space="preserve"> _xll.EPMOlapMemberO("[BRAND].[].[ PLAIN PACKAGING]",""," PLAIN PACKAGING","","000")</f>
        <v xml:space="preserve"> PLAIN PACKAGING</v>
      </c>
      <c r="D296" s="2" t="str">
        <f xml:space="preserve"> _xll.EPMOlapMemberO("[AM2MARKETDESCR].[].[NORTHERN IRELAND]","","NORTHERN IRELAND","","000")</f>
        <v>NORTHERN IRELAND</v>
      </c>
      <c r="E296" s="2" t="str">
        <f xml:space="preserve"> _xll.EPMOlapMemberO("[AM2PARENTCUSTGROUP].[].[__NULL]","","(None)","","000")</f>
        <v>(None)</v>
      </c>
      <c r="F296" s="2" t="str">
        <f xml:space="preserve"> _xll.EPMOlapMemberO("[KEY_FIGURES].[].[INITIALINVENTORY]","","Stock","","000")</f>
        <v>Stock</v>
      </c>
      <c r="AQ296" s="2">
        <v>302.39999999999998</v>
      </c>
    </row>
    <row r="297" spans="1:52" x14ac:dyDescent="0.35">
      <c r="A297" s="2" t="str">
        <f xml:space="preserve"> _xll.EPMOlapMemberO("[LOCID].[].[Munich plant]","","Munich plant","","000")</f>
        <v>Munich plant</v>
      </c>
      <c r="B297" s="2" t="str">
        <f xml:space="preserve"> _xll.EPMOlapMemberO("[PRDID].[].[999-68017-0868]","","999-68017-0868","","000")</f>
        <v>999-68017-0868</v>
      </c>
      <c r="C297" s="2" t="str">
        <f xml:space="preserve"> _xll.EPMOlapMemberO("[BRAND].[].[ PLAIN PACKAGING]",""," PLAIN PACKAGING","","000")</f>
        <v xml:space="preserve"> PLAIN PACKAGING</v>
      </c>
      <c r="D297" s="2" t="str">
        <f xml:space="preserve"> _xll.EPMOlapMemberO("[AM2MARKETDESCR].[].[NORTHERN IRELAND]","","NORTHERN IRELAND","","000")</f>
        <v>NORTHERN IRELAND</v>
      </c>
      <c r="E297" s="2" t="str">
        <f xml:space="preserve"> _xll.EPMOlapMemberO("[AM2PARENTCUSTGROUP].[].[__NULL]","","(None)","","000")</f>
        <v>(None)</v>
      </c>
      <c r="F297" s="2" t="str">
        <f xml:space="preserve"> _xll.EPMOlapMemberO("[KEY_FIGURES].[].[CONFIRMEDPRODUCTION]","","Production Order","","000")</f>
        <v>Production Order</v>
      </c>
      <c r="AU297" s="2">
        <v>203</v>
      </c>
      <c r="AY297" s="2">
        <v>217.5</v>
      </c>
    </row>
    <row r="298" spans="1:52" x14ac:dyDescent="0.35">
      <c r="A298" s="2" t="str">
        <f xml:space="preserve"> _xll.EPMOlapMemberO("[LOCID].[].[Munich plant]","","Munich plant","","000")</f>
        <v>Munich plant</v>
      </c>
      <c r="B298" s="2" t="str">
        <f xml:space="preserve"> _xll.EPMOlapMemberO("[PRDID].[].[999-68017-0869]","","999-68017-0869","","000")</f>
        <v>999-68017-0869</v>
      </c>
      <c r="C298" s="2" t="str">
        <f xml:space="preserve"> _xll.EPMOlapMemberO("[BRAND].[].[ PLAIN PACKAGING]",""," PLAIN PACKAGING","","000")</f>
        <v xml:space="preserve"> PLAIN PACKAGING</v>
      </c>
      <c r="D298" s="2" t="str">
        <f xml:space="preserve"> _xll.EPMOlapMemberO("[AM2MARKETDESCR].[].[GREAT BRITAIN]","","GREAT BRITAIN","","000")</f>
        <v>GREAT BRITAIN</v>
      </c>
      <c r="E298" s="2" t="str">
        <f xml:space="preserve"> _xll.EPMOlapMemberO("[AM2PARENTCUSTGROUP].[].[__NULL]","","(None)","","000")</f>
        <v>(None)</v>
      </c>
      <c r="F298" s="2" t="str">
        <f xml:space="preserve"> _xll.EPMOlapMemberO("[KEY_FIGURES].[].[INITIALINVENTORY]","","Stock","","000")</f>
        <v>Stock</v>
      </c>
      <c r="AQ298" s="2">
        <v>604.79999999999995</v>
      </c>
    </row>
    <row r="299" spans="1:52" x14ac:dyDescent="0.35">
      <c r="A299" s="2" t="str">
        <f xml:space="preserve"> _xll.EPMOlapMemberO("[LOCID].[].[Munich plant]","","Munich plant","","000")</f>
        <v>Munich plant</v>
      </c>
      <c r="B299" s="2" t="str">
        <f xml:space="preserve"> _xll.EPMOlapMemberO("[PRDID].[].[999-68017-0869]","","999-68017-0869","","000")</f>
        <v>999-68017-0869</v>
      </c>
      <c r="C299" s="2" t="str">
        <f xml:space="preserve"> _xll.EPMOlapMemberO("[BRAND].[].[ PLAIN PACKAGING]",""," PLAIN PACKAGING","","000")</f>
        <v xml:space="preserve"> PLAIN PACKAGING</v>
      </c>
      <c r="D299" s="2" t="str">
        <f xml:space="preserve"> _xll.EPMOlapMemberO("[AM2MARKETDESCR].[].[GREAT BRITAIN]","","GREAT BRITAIN","","000")</f>
        <v>GREAT BRITAIN</v>
      </c>
      <c r="E299" s="2" t="str">
        <f xml:space="preserve"> _xll.EPMOlapMemberO("[AM2PARENTCUSTGROUP].[].[__NULL]","","(None)","","000")</f>
        <v>(None)</v>
      </c>
      <c r="F299" s="2" t="str">
        <f xml:space="preserve"> _xll.EPMOlapMemberO("[KEY_FIGURES].[].[CONFIRMEDPRODUCTION]","","Production Order","","000")</f>
        <v>Production Order</v>
      </c>
      <c r="AU299" s="2">
        <v>348</v>
      </c>
      <c r="AY299" s="2">
        <v>304.5</v>
      </c>
    </row>
    <row r="300" spans="1:52" x14ac:dyDescent="0.35">
      <c r="A300" s="2" t="str">
        <f xml:space="preserve"> _xll.EPMOlapMemberO("[LOCID].[].[Munich plant]","","Munich plant","","000")</f>
        <v>Munich plant</v>
      </c>
      <c r="B300" s="2" t="str">
        <f xml:space="preserve"> _xll.EPMOlapMemberO("[PRDID].[].[999-68017-0870]","","999-68017-0870","","000")</f>
        <v>999-68017-0870</v>
      </c>
      <c r="C300" s="2" t="str">
        <f xml:space="preserve"> _xll.EPMOlapMemberO("[BRAND].[].[ PLAIN PACKAGING]",""," PLAIN PACKAGING","","000")</f>
        <v xml:space="preserve"> PLAIN PACKAGING</v>
      </c>
      <c r="D300" s="2" t="str">
        <f xml:space="preserve"> _xll.EPMOlapMemberO("[AM2MARKETDESCR].[].[NETHERLANDS]","","NETHERLANDS","","000")</f>
        <v>NETHERLANDS</v>
      </c>
      <c r="E300" s="2" t="str">
        <f xml:space="preserve"> _xll.EPMOlapMemberO("[AM2PARENTCUSTGROUP].[].[__NULL]","","(None)","","000")</f>
        <v>(None)</v>
      </c>
      <c r="F300" s="2" t="str">
        <f xml:space="preserve"> _xll.EPMOlapMemberO("[KEY_FIGURES].[].[INITIALINVENTORY]","","Stock","","000")</f>
        <v>Stock</v>
      </c>
      <c r="AQ300" s="2">
        <v>525</v>
      </c>
    </row>
    <row r="301" spans="1:52" x14ac:dyDescent="0.35">
      <c r="A301" s="2" t="str">
        <f xml:space="preserve"> _xll.EPMOlapMemberO("[LOCID].[].[Munich plant]","","Munich plant","","000")</f>
        <v>Munich plant</v>
      </c>
      <c r="B301" s="2" t="str">
        <f xml:space="preserve"> _xll.EPMOlapMemberO("[PRDID].[].[999-68017-0870]","","999-68017-0870","","000")</f>
        <v>999-68017-0870</v>
      </c>
      <c r="C301" s="2" t="str">
        <f xml:space="preserve"> _xll.EPMOlapMemberO("[BRAND].[].[ PLAIN PACKAGING]",""," PLAIN PACKAGING","","000")</f>
        <v xml:space="preserve"> PLAIN PACKAGING</v>
      </c>
      <c r="D301" s="2" t="str">
        <f xml:space="preserve"> _xll.EPMOlapMemberO("[AM2MARKETDESCR].[].[NETHERLANDS]","","NETHERLANDS","","000")</f>
        <v>NETHERLANDS</v>
      </c>
      <c r="E301" s="2" t="str">
        <f xml:space="preserve"> _xll.EPMOlapMemberO("[AM2PARENTCUSTGROUP].[].[__NULL]","","(None)","","000")</f>
        <v>(None)</v>
      </c>
      <c r="F301" s="2" t="str">
        <f xml:space="preserve"> _xll.EPMOlapMemberO("[KEY_FIGURES].[].[CONFIRMEDPRODUCTION]","","Production Order","","000")</f>
        <v>Production Order</v>
      </c>
      <c r="AT301" s="2">
        <v>770</v>
      </c>
      <c r="AW301" s="2">
        <v>675</v>
      </c>
      <c r="AZ301" s="2">
        <v>920</v>
      </c>
    </row>
    <row r="302" spans="1:52" x14ac:dyDescent="0.35">
      <c r="A302" s="2" t="str">
        <f xml:space="preserve"> _xll.EPMOlapMemberO("[LOCID].[].[Munich plant]","","Munich plant","","000")</f>
        <v>Munich plant</v>
      </c>
      <c r="B302" s="2" t="str">
        <f xml:space="preserve"> _xll.EPMOlapMemberO("[PRDID].[].[999-68017-0871]","","999-68017-0871","","000")</f>
        <v>999-68017-0871</v>
      </c>
      <c r="C302" s="2" t="str">
        <f xml:space="preserve"> _xll.EPMOlapMemberO("[BRAND].[].[ PLAIN PACKAGING]",""," PLAIN PACKAGING","","000")</f>
        <v xml:space="preserve"> PLAIN PACKAGING</v>
      </c>
      <c r="D302" s="2" t="str">
        <f xml:space="preserve"> _xll.EPMOlapMemberO("[AM2MARKETDESCR].[].[NETHERLANDS]","","NETHERLANDS","","000")</f>
        <v>NETHERLANDS</v>
      </c>
      <c r="E302" s="2" t="str">
        <f xml:space="preserve"> _xll.EPMOlapMemberO("[AM2PARENTCUSTGROUP].[].[__NULL]","","(None)","","000")</f>
        <v>(None)</v>
      </c>
      <c r="F302" s="2" t="str">
        <f xml:space="preserve"> _xll.EPMOlapMemberO("[KEY_FIGURES].[].[CONFIRMEDPRODUCTION]","","Production Order","","000")</f>
        <v>Production Order</v>
      </c>
      <c r="AU302" s="2">
        <v>235</v>
      </c>
      <c r="AY302" s="2">
        <v>270</v>
      </c>
    </row>
    <row r="303" spans="1:52" x14ac:dyDescent="0.35">
      <c r="A303" s="2" t="str">
        <f xml:space="preserve"> _xll.EPMOlapMemberO("[LOCID].[].[Munich plant]","","Munich plant","","000")</f>
        <v>Munich plant</v>
      </c>
      <c r="B303" s="2" t="str">
        <f xml:space="preserve"> _xll.EPMOlapMemberO("[PRDID].[].[999-68017-0872]","","999-68017-0872","","000")</f>
        <v>999-68017-0872</v>
      </c>
      <c r="C303" s="2" t="str">
        <f xml:space="preserve"> _xll.EPMOlapMemberO("[BRAND].[].[ PLAIN PACKAGING]",""," PLAIN PACKAGING","","000")</f>
        <v xml:space="preserve"> PLAIN PACKAGING</v>
      </c>
      <c r="D303" s="2" t="str">
        <f xml:space="preserve"> _xll.EPMOlapMemberO("[AM2MARKETDESCR].[].[NETHERLANDS]","","NETHERLANDS","","000")</f>
        <v>NETHERLANDS</v>
      </c>
      <c r="E303" s="2" t="str">
        <f xml:space="preserve"> _xll.EPMOlapMemberO("[AM2PARENTCUSTGROUP].[].[__NULL]","","(None)","","000")</f>
        <v>(None)</v>
      </c>
      <c r="F303" s="2" t="str">
        <f xml:space="preserve"> _xll.EPMOlapMemberO("[KEY_FIGURES].[].[INITIALINVENTORY]","","Stock","","000")</f>
        <v>Stock</v>
      </c>
      <c r="AQ303" s="2">
        <v>525</v>
      </c>
    </row>
    <row r="304" spans="1:52" x14ac:dyDescent="0.35">
      <c r="A304" s="2" t="str">
        <f xml:space="preserve"> _xll.EPMOlapMemberO("[LOCID].[].[Munich plant]","","Munich plant","","000")</f>
        <v>Munich plant</v>
      </c>
      <c r="B304" s="2" t="str">
        <f xml:space="preserve"> _xll.EPMOlapMemberO("[PRDID].[].[999-68017-0872]","","999-68017-0872","","000")</f>
        <v>999-68017-0872</v>
      </c>
      <c r="C304" s="2" t="str">
        <f xml:space="preserve"> _xll.EPMOlapMemberO("[BRAND].[].[ PLAIN PACKAGING]",""," PLAIN PACKAGING","","000")</f>
        <v xml:space="preserve"> PLAIN PACKAGING</v>
      </c>
      <c r="D304" s="2" t="str">
        <f xml:space="preserve"> _xll.EPMOlapMemberO("[AM2MARKETDESCR].[].[NETHERLANDS]","","NETHERLANDS","","000")</f>
        <v>NETHERLANDS</v>
      </c>
      <c r="E304" s="2" t="str">
        <f xml:space="preserve"> _xll.EPMOlapMemberO("[AM2PARENTCUSTGROUP].[].[__NULL]","","(None)","","000")</f>
        <v>(None)</v>
      </c>
      <c r="F304" s="2" t="str">
        <f xml:space="preserve"> _xll.EPMOlapMemberO("[KEY_FIGURES].[].[CONFIRMEDPRODUCTION]","","Production Order","","000")</f>
        <v>Production Order</v>
      </c>
      <c r="AS304" s="2">
        <v>480</v>
      </c>
      <c r="AU304" s="2">
        <v>390</v>
      </c>
      <c r="AW304" s="2">
        <v>440</v>
      </c>
      <c r="AY304" s="2">
        <v>580</v>
      </c>
    </row>
    <row r="305" spans="1:52" x14ac:dyDescent="0.35">
      <c r="A305" s="2" t="str">
        <f xml:space="preserve"> _xll.EPMOlapMemberO("[LOCID].[].[Munich plant]","","Munich plant","","000")</f>
        <v>Munich plant</v>
      </c>
      <c r="B305" s="2" t="str">
        <f xml:space="preserve"> _xll.EPMOlapMemberO("[PRDID].[].[999-68017-0873]","","999-68017-0873","","000")</f>
        <v>999-68017-0873</v>
      </c>
      <c r="C305" s="2" t="str">
        <f xml:space="preserve"> _xll.EPMOlapMemberO("[BRAND].[].[ PLAIN PACKAGING]",""," PLAIN PACKAGING","","000")</f>
        <v xml:space="preserve"> PLAIN PACKAGING</v>
      </c>
      <c r="D305" s="2" t="str">
        <f xml:space="preserve"> _xll.EPMOlapMemberO("[AM2MARKETDESCR].[].[NETHERLANDS]","","NETHERLANDS","","000")</f>
        <v>NETHERLANDS</v>
      </c>
      <c r="E305" s="2" t="str">
        <f xml:space="preserve"> _xll.EPMOlapMemberO("[AM2PARENTCUSTGROUP].[].[__NULL]","","(None)","","000")</f>
        <v>(None)</v>
      </c>
      <c r="F305" s="2" t="str">
        <f xml:space="preserve"> _xll.EPMOlapMemberO("[KEY_FIGURES].[].[INITIALINVENTORY]","","Stock","","000")</f>
        <v>Stock</v>
      </c>
      <c r="AQ305" s="2">
        <v>210</v>
      </c>
    </row>
    <row r="306" spans="1:52" x14ac:dyDescent="0.35">
      <c r="A306" s="2" t="str">
        <f xml:space="preserve"> _xll.EPMOlapMemberO("[LOCID].[].[Munich plant]","","Munich plant","","000")</f>
        <v>Munich plant</v>
      </c>
      <c r="B306" s="2" t="str">
        <f xml:space="preserve"> _xll.EPMOlapMemberO("[PRDID].[].[999-68017-0873]","","999-68017-0873","","000")</f>
        <v>999-68017-0873</v>
      </c>
      <c r="C306" s="2" t="str">
        <f xml:space="preserve"> _xll.EPMOlapMemberO("[BRAND].[].[ PLAIN PACKAGING]",""," PLAIN PACKAGING","","000")</f>
        <v xml:space="preserve"> PLAIN PACKAGING</v>
      </c>
      <c r="D306" s="2" t="str">
        <f xml:space="preserve"> _xll.EPMOlapMemberO("[AM2MARKETDESCR].[].[NETHERLANDS]","","NETHERLANDS","","000")</f>
        <v>NETHERLANDS</v>
      </c>
      <c r="E306" s="2" t="str">
        <f xml:space="preserve"> _xll.EPMOlapMemberO("[AM2PARENTCUSTGROUP].[].[__NULL]","","(None)","","000")</f>
        <v>(None)</v>
      </c>
      <c r="F306" s="2" t="str">
        <f xml:space="preserve"> _xll.EPMOlapMemberO("[KEY_FIGURES].[].[CONFIRMEDPRODUCTION]","","Production Order","","000")</f>
        <v>Production Order</v>
      </c>
      <c r="AU306" s="2">
        <v>295</v>
      </c>
      <c r="AY306" s="2">
        <v>380</v>
      </c>
    </row>
    <row r="307" spans="1:52" x14ac:dyDescent="0.35">
      <c r="A307" s="2" t="str">
        <f xml:space="preserve"> _xll.EPMOlapMemberO("[LOCID].[].[Munich plant]","","Munich plant","","000")</f>
        <v>Munich plant</v>
      </c>
      <c r="B307" s="2" t="str">
        <f xml:space="preserve"> _xll.EPMOlapMemberO("[PRDID].[].[999-68017-0874]","","999-68017-0874","","000")</f>
        <v>999-68017-0874</v>
      </c>
      <c r="C307" s="2" t="str">
        <f xml:space="preserve"> _xll.EPMOlapMemberO("[BRAND].[].[ PLAIN PACKAGING]",""," PLAIN PACKAGING","","000")</f>
        <v xml:space="preserve"> PLAIN PACKAGING</v>
      </c>
      <c r="D307" s="2" t="str">
        <f xml:space="preserve"> _xll.EPMOlapMemberO("[AM2MARKETDESCR].[].[NETHERLANDS]","","NETHERLANDS","","000")</f>
        <v>NETHERLANDS</v>
      </c>
      <c r="E307" s="2" t="str">
        <f xml:space="preserve"> _xll.EPMOlapMemberO("[AM2PARENTCUSTGROUP].[].[__NULL]","","(None)","","000")</f>
        <v>(None)</v>
      </c>
      <c r="F307" s="2" t="str">
        <f xml:space="preserve"> _xll.EPMOlapMemberO("[KEY_FIGURES].[].[INITIALINVENTORY]","","Stock","","000")</f>
        <v>Stock</v>
      </c>
      <c r="AQ307" s="2">
        <v>210</v>
      </c>
    </row>
    <row r="308" spans="1:52" x14ac:dyDescent="0.35">
      <c r="A308" s="2" t="str">
        <f xml:space="preserve"> _xll.EPMOlapMemberO("[LOCID].[].[Munich plant]","","Munich plant","","000")</f>
        <v>Munich plant</v>
      </c>
      <c r="B308" s="2" t="str">
        <f xml:space="preserve"> _xll.EPMOlapMemberO("[PRDID].[].[999-68017-0874]","","999-68017-0874","","000")</f>
        <v>999-68017-0874</v>
      </c>
      <c r="C308" s="2" t="str">
        <f xml:space="preserve"> _xll.EPMOlapMemberO("[BRAND].[].[ PLAIN PACKAGING]",""," PLAIN PACKAGING","","000")</f>
        <v xml:space="preserve"> PLAIN PACKAGING</v>
      </c>
      <c r="D308" s="2" t="str">
        <f xml:space="preserve"> _xll.EPMOlapMemberO("[AM2MARKETDESCR].[].[NETHERLANDS]","","NETHERLANDS","","000")</f>
        <v>NETHERLANDS</v>
      </c>
      <c r="E308" s="2" t="str">
        <f xml:space="preserve"> _xll.EPMOlapMemberO("[AM2PARENTCUSTGROUP].[].[__NULL]","","(None)","","000")</f>
        <v>(None)</v>
      </c>
      <c r="F308" s="2" t="str">
        <f xml:space="preserve"> _xll.EPMOlapMemberO("[KEY_FIGURES].[].[CONFIRMEDPRODUCTION]","","Production Order","","000")</f>
        <v>Production Order</v>
      </c>
      <c r="AU308" s="2">
        <v>210</v>
      </c>
      <c r="AY308" s="2">
        <v>245</v>
      </c>
    </row>
    <row r="309" spans="1:52" x14ac:dyDescent="0.35">
      <c r="A309" s="2" t="str">
        <f xml:space="preserve"> _xll.EPMOlapMemberO("[LOCID].[].[Munich plant]","","Munich plant","","000")</f>
        <v>Munich plant</v>
      </c>
      <c r="B309" s="2" t="str">
        <f xml:space="preserve"> _xll.EPMOlapMemberO("[PRDID].[].[999-68017-0875]","","999-68017-0875","","000")</f>
        <v>999-68017-0875</v>
      </c>
      <c r="C309" s="2" t="str">
        <f xml:space="preserve"> _xll.EPMOlapMemberO("[BRAND].[].[ PLAIN PACKAGING]",""," PLAIN PACKAGING","","000")</f>
        <v xml:space="preserve"> PLAIN PACKAGING</v>
      </c>
      <c r="D309" s="2" t="str">
        <f xml:space="preserve"> _xll.EPMOlapMemberO("[AM2MARKETDESCR].[].[NETHERLANDS]","","NETHERLANDS","","000")</f>
        <v>NETHERLANDS</v>
      </c>
      <c r="E309" s="2" t="str">
        <f xml:space="preserve"> _xll.EPMOlapMemberO("[AM2PARENTCUSTGROUP].[].[__NULL]","","(None)","","000")</f>
        <v>(None)</v>
      </c>
      <c r="F309" s="2" t="str">
        <f xml:space="preserve"> _xll.EPMOlapMemberO("[KEY_FIGURES].[].[INITIALINVENTORY]","","Stock","","000")</f>
        <v>Stock</v>
      </c>
      <c r="AQ309" s="2">
        <v>105</v>
      </c>
    </row>
    <row r="310" spans="1:52" x14ac:dyDescent="0.35">
      <c r="A310" s="2" t="str">
        <f xml:space="preserve"> _xll.EPMOlapMemberO("[LOCID].[].[Munich plant]","","Munich plant","","000")</f>
        <v>Munich plant</v>
      </c>
      <c r="B310" s="2" t="str">
        <f xml:space="preserve"> _xll.EPMOlapMemberO("[PRDID].[].[999-68017-0875]","","999-68017-0875","","000")</f>
        <v>999-68017-0875</v>
      </c>
      <c r="C310" s="2" t="str">
        <f xml:space="preserve"> _xll.EPMOlapMemberO("[BRAND].[].[ PLAIN PACKAGING]",""," PLAIN PACKAGING","","000")</f>
        <v xml:space="preserve"> PLAIN PACKAGING</v>
      </c>
      <c r="D310" s="2" t="str">
        <f xml:space="preserve"> _xll.EPMOlapMemberO("[AM2MARKETDESCR].[].[NETHERLANDS]","","NETHERLANDS","","000")</f>
        <v>NETHERLANDS</v>
      </c>
      <c r="E310" s="2" t="str">
        <f xml:space="preserve"> _xll.EPMOlapMemberO("[AM2PARENTCUSTGROUP].[].[__NULL]","","(None)","","000")</f>
        <v>(None)</v>
      </c>
      <c r="F310" s="2" t="str">
        <f xml:space="preserve"> _xll.EPMOlapMemberO("[KEY_FIGURES].[].[CONFIRMEDPRODUCTION]","","Production Order","","000")</f>
        <v>Production Order</v>
      </c>
      <c r="AU310" s="2">
        <v>230</v>
      </c>
      <c r="AY310" s="2">
        <v>270</v>
      </c>
    </row>
    <row r="311" spans="1:52" x14ac:dyDescent="0.35">
      <c r="A311" s="2" t="str">
        <f xml:space="preserve"> _xll.EPMOlapMemberO("[LOCID].[].[Munich plant]","","Munich plant","","000")</f>
        <v>Munich plant</v>
      </c>
      <c r="B311" s="2" t="str">
        <f xml:space="preserve"> _xll.EPMOlapMemberO("[PRDID].[].[999-68017-0876]","","999-68017-0876","","000")</f>
        <v>999-68017-0876</v>
      </c>
      <c r="C311" s="2" t="str">
        <f xml:space="preserve"> _xll.EPMOlapMemberO("[BRAND].[].[ PLAIN PACKAGING]",""," PLAIN PACKAGING","","000")</f>
        <v xml:space="preserve"> PLAIN PACKAGING</v>
      </c>
      <c r="D311" s="2" t="str">
        <f xml:space="preserve"> _xll.EPMOlapMemberO("[AM2MARKETDESCR].[].[NETHERLANDS]","","NETHERLANDS","","000")</f>
        <v>NETHERLANDS</v>
      </c>
      <c r="E311" s="2" t="str">
        <f xml:space="preserve"> _xll.EPMOlapMemberO("[AM2PARENTCUSTGROUP].[].[__NULL]","","(None)","","000")</f>
        <v>(None)</v>
      </c>
      <c r="F311" s="2" t="str">
        <f xml:space="preserve"> _xll.EPMOlapMemberO("[KEY_FIGURES].[].[CONFIRMEDPRODUCTION]","","Production Order","","000")</f>
        <v>Production Order</v>
      </c>
      <c r="AU311" s="2">
        <v>25</v>
      </c>
      <c r="AX311" s="2">
        <v>25</v>
      </c>
    </row>
    <row r="312" spans="1:52" x14ac:dyDescent="0.35">
      <c r="A312" s="2" t="str">
        <f xml:space="preserve"> _xll.EPMOlapMemberO("[LOCID].[].[Munich plant]","","Munich plant","","000")</f>
        <v>Munich plant</v>
      </c>
      <c r="B312" s="2" t="str">
        <f xml:space="preserve"> _xll.EPMOlapMemberO("[PRDID].[].[999-68017-0877]","","999-68017-0877","","000")</f>
        <v>999-68017-0877</v>
      </c>
      <c r="C312" s="2" t="str">
        <f xml:space="preserve"> _xll.EPMOlapMemberO("[BRAND].[].[ PLAIN PACKAGING]",""," PLAIN PACKAGING","","000")</f>
        <v xml:space="preserve"> PLAIN PACKAGING</v>
      </c>
      <c r="D312" s="2" t="str">
        <f xml:space="preserve"> _xll.EPMOlapMemberO("[AM2MARKETDESCR].[].[NETHERLANDS]","","NETHERLANDS","","000")</f>
        <v>NETHERLANDS</v>
      </c>
      <c r="E312" s="2" t="str">
        <f xml:space="preserve"> _xll.EPMOlapMemberO("[AM2PARENTCUSTGROUP].[].[__NULL]","","(None)","","000")</f>
        <v>(None)</v>
      </c>
      <c r="F312" s="2" t="str">
        <f xml:space="preserve"> _xll.EPMOlapMemberO("[KEY_FIGURES].[].[CONFIRMEDPRODUCTION]","","Production Order","","000")</f>
        <v>Production Order</v>
      </c>
      <c r="AS312" s="2">
        <v>75</v>
      </c>
      <c r="AW312" s="2">
        <v>25</v>
      </c>
    </row>
    <row r="313" spans="1:52" x14ac:dyDescent="0.35">
      <c r="A313" s="2" t="str">
        <f xml:space="preserve"> _xll.EPMOlapMemberO("[LOCID].[].[Munich plant]","","Munich plant","","000")</f>
        <v>Munich plant</v>
      </c>
      <c r="B313" s="2" t="str">
        <f xml:space="preserve"> _xll.EPMOlapMemberO("[PRDID].[].[999-68017-0878]","","999-68017-0878","","000")</f>
        <v>999-68017-0878</v>
      </c>
      <c r="C313" s="2" t="str">
        <f xml:space="preserve"> _xll.EPMOlapMemberO("[BRAND].[].[ PLAIN PACKAGING]",""," PLAIN PACKAGING","","000")</f>
        <v xml:space="preserve"> PLAIN PACKAGING</v>
      </c>
      <c r="D313" s="2" t="str">
        <f xml:space="preserve"> _xll.EPMOlapMemberO("[AM2MARKETDESCR].[].[NETHERLANDS]","","NETHERLANDS","","000")</f>
        <v>NETHERLANDS</v>
      </c>
      <c r="E313" s="2" t="str">
        <f xml:space="preserve"> _xll.EPMOlapMemberO("[AM2PARENTCUSTGROUP].[].[__NULL]","","(None)","","000")</f>
        <v>(None)</v>
      </c>
      <c r="F313" s="2" t="str">
        <f xml:space="preserve"> _xll.EPMOlapMemberO("[KEY_FIGURES].[].[CONFIRMEDPRODUCTION]","","Production Order","","000")</f>
        <v>Production Order</v>
      </c>
      <c r="AR313" s="2">
        <v>315</v>
      </c>
      <c r="AU313" s="2">
        <v>230</v>
      </c>
      <c r="AY313" s="2">
        <v>245</v>
      </c>
    </row>
    <row r="314" spans="1:52" x14ac:dyDescent="0.35">
      <c r="A314" s="2" t="str">
        <f xml:space="preserve"> _xll.EPMOlapMemberO("[LOCID].[].[Munich plant]","","Munich plant","","000")</f>
        <v>Munich plant</v>
      </c>
      <c r="B314" s="2" t="str">
        <f xml:space="preserve"> _xll.EPMOlapMemberO("[PRDID].[].[999-68017-0882]","","999-68017-0882","","000")</f>
        <v>999-68017-0882</v>
      </c>
      <c r="C314" s="2" t="str">
        <f xml:space="preserve"> _xll.EPMOlapMemberO("[BRAND].[].[ PLAIN PACKAGING]",""," PLAIN PACKAGING","","000")</f>
        <v xml:space="preserve"> PLAIN PACKAGING</v>
      </c>
      <c r="D314" s="2" t="str">
        <f xml:space="preserve"> _xll.EPMOlapMemberO("[AM2MARKETDESCR].[].[NETHERLANDS]","","NETHERLANDS","","000")</f>
        <v>NETHERLANDS</v>
      </c>
      <c r="E314" s="2" t="str">
        <f xml:space="preserve"> _xll.EPMOlapMemberO("[AM2PARENTCUSTGROUP].[].[__NULL]","","(None)","","000")</f>
        <v>(None)</v>
      </c>
      <c r="F314" s="2" t="str">
        <f xml:space="preserve"> _xll.EPMOlapMemberO("[KEY_FIGURES].[].[CONFIRMEDPRODUCTION]","","Production Order","","000")</f>
        <v>Production Order</v>
      </c>
      <c r="AS314" s="2">
        <v>111.167</v>
      </c>
      <c r="AV314" s="2">
        <v>29</v>
      </c>
      <c r="AX314" s="2">
        <v>75</v>
      </c>
      <c r="AY314" s="2">
        <v>29</v>
      </c>
    </row>
    <row r="315" spans="1:52" x14ac:dyDescent="0.35">
      <c r="A315" s="2" t="str">
        <f xml:space="preserve"> _xll.EPMOlapMemberO("[LOCID].[].[Munich plant]","","Munich plant","","000")</f>
        <v>Munich plant</v>
      </c>
      <c r="B315" s="2" t="str">
        <f xml:space="preserve"> _xll.EPMOlapMemberO("[PRDID].[].[999-68017-0883]","","999-68017-0883","","000")</f>
        <v>999-68017-0883</v>
      </c>
      <c r="C315" s="2" t="str">
        <f xml:space="preserve"> _xll.EPMOlapMemberO("[BRAND].[].[ PLAIN PACKAGING]",""," PLAIN PACKAGING","","000")</f>
        <v xml:space="preserve"> PLAIN PACKAGING</v>
      </c>
      <c r="D315" s="2" t="str">
        <f xml:space="preserve"> _xll.EPMOlapMemberO("[AM2MARKETDESCR].[].[IRELAND]","","IRELAND","","000")</f>
        <v>IRELAND</v>
      </c>
      <c r="E315" s="2" t="str">
        <f xml:space="preserve"> _xll.EPMOlapMemberO("[AM2PARENTCUSTGROUP].[].[__NULL]","","(None)","","000")</f>
        <v>(None)</v>
      </c>
      <c r="F315" s="2" t="str">
        <f xml:space="preserve"> _xll.EPMOlapMemberO("[KEY_FIGURES].[].[INITIALINVENTORY]","","Stock","","000")</f>
        <v>Stock</v>
      </c>
      <c r="AQ315" s="2">
        <v>100.8</v>
      </c>
    </row>
    <row r="316" spans="1:52" x14ac:dyDescent="0.35">
      <c r="A316" s="2" t="str">
        <f xml:space="preserve"> _xll.EPMOlapMemberO("[LOCID].[].[Munich plant]","","Munich plant","","000")</f>
        <v>Munich plant</v>
      </c>
      <c r="B316" s="2" t="str">
        <f xml:space="preserve"> _xll.EPMOlapMemberO("[PRDID].[].[999-68017-0883]","","999-68017-0883","","000")</f>
        <v>999-68017-0883</v>
      </c>
      <c r="C316" s="2" t="str">
        <f xml:space="preserve"> _xll.EPMOlapMemberO("[BRAND].[].[ PLAIN PACKAGING]",""," PLAIN PACKAGING","","000")</f>
        <v xml:space="preserve"> PLAIN PACKAGING</v>
      </c>
      <c r="D316" s="2" t="str">
        <f xml:space="preserve"> _xll.EPMOlapMemberO("[AM2MARKETDESCR].[].[IRELAND]","","IRELAND","","000")</f>
        <v>IRELAND</v>
      </c>
      <c r="E316" s="2" t="str">
        <f xml:space="preserve"> _xll.EPMOlapMemberO("[AM2PARENTCUSTGROUP].[].[__NULL]","","(None)","","000")</f>
        <v>(None)</v>
      </c>
      <c r="F316" s="2" t="str">
        <f xml:space="preserve"> _xll.EPMOlapMemberO("[KEY_FIGURES].[].[CONFIRMEDPRODUCTION]","","Production Order","","000")</f>
        <v>Production Order</v>
      </c>
      <c r="AR316" s="2">
        <v>87</v>
      </c>
      <c r="AV316" s="2">
        <v>29</v>
      </c>
      <c r="AZ316" s="2">
        <v>29</v>
      </c>
    </row>
    <row r="317" spans="1:52" x14ac:dyDescent="0.35">
      <c r="A317" s="2" t="str">
        <f xml:space="preserve"> _xll.EPMOlapMemberO("[LOCID].[].[Munich plant]","","Munich plant","","000")</f>
        <v>Munich plant</v>
      </c>
      <c r="B317" s="2" t="str">
        <f xml:space="preserve"> _xll.EPMOlapMemberO("[PRDID].[].[999-68017-0884]","","999-68017-0884","","000")</f>
        <v>999-68017-0884</v>
      </c>
      <c r="C317" s="2" t="str">
        <f xml:space="preserve"> _xll.EPMOlapMemberO("[BRAND].[].[ PLAIN PACKAGING]",""," PLAIN PACKAGING","","000")</f>
        <v xml:space="preserve"> PLAIN PACKAGING</v>
      </c>
      <c r="D317" s="2" t="str">
        <f xml:space="preserve"> _xll.EPMOlapMemberO("[AM2MARKETDESCR].[].[IRELAND]","","IRELAND","","000")</f>
        <v>IRELAND</v>
      </c>
      <c r="E317" s="2" t="str">
        <f xml:space="preserve"> _xll.EPMOlapMemberO("[AM2PARENTCUSTGROUP].[].[__NULL]","","(None)","","000")</f>
        <v>(None)</v>
      </c>
      <c r="F317" s="2" t="str">
        <f xml:space="preserve"> _xll.EPMOlapMemberO("[KEY_FIGURES].[].[INITIALINVENTORY]","","Stock","","000")</f>
        <v>Stock</v>
      </c>
      <c r="AQ317" s="2">
        <v>201.6</v>
      </c>
    </row>
    <row r="318" spans="1:52" x14ac:dyDescent="0.35">
      <c r="A318" s="2" t="str">
        <f xml:space="preserve"> _xll.EPMOlapMemberO("[LOCID].[].[Munich plant]","","Munich plant","","000")</f>
        <v>Munich plant</v>
      </c>
      <c r="B318" s="2" t="str">
        <f xml:space="preserve"> _xll.EPMOlapMemberO("[PRDID].[].[999-68017-0884]","","999-68017-0884","","000")</f>
        <v>999-68017-0884</v>
      </c>
      <c r="C318" s="2" t="str">
        <f xml:space="preserve"> _xll.EPMOlapMemberO("[BRAND].[].[ PLAIN PACKAGING]",""," PLAIN PACKAGING","","000")</f>
        <v xml:space="preserve"> PLAIN PACKAGING</v>
      </c>
      <c r="D318" s="2" t="str">
        <f xml:space="preserve"> _xll.EPMOlapMemberO("[AM2MARKETDESCR].[].[IRELAND]","","IRELAND","","000")</f>
        <v>IRELAND</v>
      </c>
      <c r="E318" s="2" t="str">
        <f xml:space="preserve"> _xll.EPMOlapMemberO("[AM2PARENTCUSTGROUP].[].[__NULL]","","(None)","","000")</f>
        <v>(None)</v>
      </c>
      <c r="F318" s="2" t="str">
        <f xml:space="preserve"> _xll.EPMOlapMemberO("[KEY_FIGURES].[].[CONFIRMEDPRODUCTION]","","Production Order","","000")</f>
        <v>Production Order</v>
      </c>
      <c r="AU318" s="2">
        <v>159.5</v>
      </c>
      <c r="AX318" s="2">
        <v>159.5</v>
      </c>
    </row>
    <row r="319" spans="1:52" x14ac:dyDescent="0.35">
      <c r="A319" s="2" t="str">
        <f xml:space="preserve"> _xll.EPMOlapMemberO("[LOCID].[].[Munich plant]","","Munich plant","","000")</f>
        <v>Munich plant</v>
      </c>
      <c r="B319" s="2" t="str">
        <f xml:space="preserve"> _xll.EPMOlapMemberO("[PRDID].[].[999-68017-0885]","","999-68017-0885","","000")</f>
        <v>999-68017-0885</v>
      </c>
      <c r="C319" s="2" t="str">
        <f xml:space="preserve"> _xll.EPMOlapMemberO("[BRAND].[].[ PLAIN PACKAGING]",""," PLAIN PACKAGING","","000")</f>
        <v xml:space="preserve"> PLAIN PACKAGING</v>
      </c>
      <c r="D319" s="2" t="str">
        <f xml:space="preserve"> _xll.EPMOlapMemberO("[AM2MARKETDESCR].[].[IRELAND]","","IRELAND","","000")</f>
        <v>IRELAND</v>
      </c>
      <c r="E319" s="2" t="str">
        <f xml:space="preserve"> _xll.EPMOlapMemberO("[AM2PARENTCUSTGROUP].[].[__NULL]","","(None)","","000")</f>
        <v>(None)</v>
      </c>
      <c r="F319" s="2" t="str">
        <f xml:space="preserve"> _xll.EPMOlapMemberO("[KEY_FIGURES].[].[INITIALINVENTORY]","","Stock","","000")</f>
        <v>Stock</v>
      </c>
      <c r="AQ319" s="2">
        <v>604.79999999999995</v>
      </c>
    </row>
    <row r="320" spans="1:52" x14ac:dyDescent="0.35">
      <c r="A320" s="2" t="str">
        <f xml:space="preserve"> _xll.EPMOlapMemberO("[LOCID].[].[Munich plant]","","Munich plant","","000")</f>
        <v>Munich plant</v>
      </c>
      <c r="B320" s="2" t="str">
        <f xml:space="preserve"> _xll.EPMOlapMemberO("[PRDID].[].[999-68017-0885]","","999-68017-0885","","000")</f>
        <v>999-68017-0885</v>
      </c>
      <c r="C320" s="2" t="str">
        <f xml:space="preserve"> _xll.EPMOlapMemberO("[BRAND].[].[ PLAIN PACKAGING]",""," PLAIN PACKAGING","","000")</f>
        <v xml:space="preserve"> PLAIN PACKAGING</v>
      </c>
      <c r="D320" s="2" t="str">
        <f xml:space="preserve"> _xll.EPMOlapMemberO("[AM2MARKETDESCR].[].[IRELAND]","","IRELAND","","000")</f>
        <v>IRELAND</v>
      </c>
      <c r="E320" s="2" t="str">
        <f xml:space="preserve"> _xll.EPMOlapMemberO("[AM2PARENTCUSTGROUP].[].[__NULL]","","(None)","","000")</f>
        <v>(None)</v>
      </c>
      <c r="F320" s="2" t="str">
        <f xml:space="preserve"> _xll.EPMOlapMemberO("[KEY_FIGURES].[].[CONFIRMEDPRODUCTION]","","Production Order","","000")</f>
        <v>Production Order</v>
      </c>
      <c r="AR320" s="2">
        <v>971.5</v>
      </c>
      <c r="AU320" s="2">
        <v>754</v>
      </c>
      <c r="AX320" s="2">
        <v>797.5</v>
      </c>
    </row>
    <row r="321" spans="1:52" x14ac:dyDescent="0.35">
      <c r="A321" s="2" t="str">
        <f xml:space="preserve"> _xll.EPMOlapMemberO("[LOCID].[].[Munich plant]","","Munich plant","","000")</f>
        <v>Munich plant</v>
      </c>
      <c r="B321" s="2" t="str">
        <f xml:space="preserve"> _xll.EPMOlapMemberO("[PRDID].[].[999-68017-0886]","","999-68017-0886","","000")</f>
        <v>999-68017-0886</v>
      </c>
      <c r="C321" s="2" t="str">
        <f xml:space="preserve"> _xll.EPMOlapMemberO("[BRAND].[].[ PLAIN PACKAGING]",""," PLAIN PACKAGING","","000")</f>
        <v xml:space="preserve"> PLAIN PACKAGING</v>
      </c>
      <c r="D321" s="2" t="str">
        <f xml:space="preserve"> _xll.EPMOlapMemberO("[AM2MARKETDESCR].[].[IRELAND]","","IRELAND","","000")</f>
        <v>IRELAND</v>
      </c>
      <c r="E321" s="2" t="str">
        <f xml:space="preserve"> _xll.EPMOlapMemberO("[AM2PARENTCUSTGROUP].[].[__NULL]","","(None)","","000")</f>
        <v>(None)</v>
      </c>
      <c r="F321" s="2" t="str">
        <f xml:space="preserve"> _xll.EPMOlapMemberO("[KEY_FIGURES].[].[INITIALINVENTORY]","","Stock","","000")</f>
        <v>Stock</v>
      </c>
      <c r="AQ321" s="2">
        <v>604.79999999999995</v>
      </c>
    </row>
    <row r="322" spans="1:52" x14ac:dyDescent="0.35">
      <c r="A322" s="2" t="str">
        <f xml:space="preserve"> _xll.EPMOlapMemberO("[LOCID].[].[Munich plant]","","Munich plant","","000")</f>
        <v>Munich plant</v>
      </c>
      <c r="B322" s="2" t="str">
        <f xml:space="preserve"> _xll.EPMOlapMemberO("[PRDID].[].[999-68017-0886]","","999-68017-0886","","000")</f>
        <v>999-68017-0886</v>
      </c>
      <c r="C322" s="2" t="str">
        <f xml:space="preserve"> _xll.EPMOlapMemberO("[BRAND].[].[ PLAIN PACKAGING]",""," PLAIN PACKAGING","","000")</f>
        <v xml:space="preserve"> PLAIN PACKAGING</v>
      </c>
      <c r="D322" s="2" t="str">
        <f xml:space="preserve"> _xll.EPMOlapMemberO("[AM2MARKETDESCR].[].[IRELAND]","","IRELAND","","000")</f>
        <v>IRELAND</v>
      </c>
      <c r="E322" s="2" t="str">
        <f xml:space="preserve"> _xll.EPMOlapMemberO("[AM2PARENTCUSTGROUP].[].[__NULL]","","(None)","","000")</f>
        <v>(None)</v>
      </c>
      <c r="F322" s="2" t="str">
        <f xml:space="preserve"> _xll.EPMOlapMemberO("[KEY_FIGURES].[].[CONFIRMEDPRODUCTION]","","Production Order","","000")</f>
        <v>Production Order</v>
      </c>
      <c r="AU322" s="2">
        <v>768.5</v>
      </c>
      <c r="AX322" s="2">
        <v>797.5</v>
      </c>
    </row>
    <row r="323" spans="1:52" x14ac:dyDescent="0.35">
      <c r="A323" s="2" t="str">
        <f xml:space="preserve"> _xll.EPMOlapMemberO("[LOCID].[].[Munich plant]","","Munich plant","","000")</f>
        <v>Munich plant</v>
      </c>
      <c r="B323" s="2" t="str">
        <f xml:space="preserve"> _xll.EPMOlapMemberO("[PRDID].[].[999-68017-0888]","","999-68017-0888","","000")</f>
        <v>999-68017-0888</v>
      </c>
      <c r="C323" s="2" t="str">
        <f xml:space="preserve"> _xll.EPMOlapMemberO("[BRAND].[].[ PLAIN PACKAGING]",""," PLAIN PACKAGING","","000")</f>
        <v xml:space="preserve"> PLAIN PACKAGING</v>
      </c>
      <c r="D323" s="2" t="str">
        <f xml:space="preserve"> _xll.EPMOlapMemberO("[AM2MARKETDESCR].[].[FINLAND]","","FINLAND","","000")</f>
        <v>FINLAND</v>
      </c>
      <c r="E323" s="2" t="str">
        <f xml:space="preserve"> _xll.EPMOlapMemberO("[AM2PARENTCUSTGROUP].[].[__NULL]","","(None)","","000")</f>
        <v>(None)</v>
      </c>
      <c r="F323" s="2" t="str">
        <f xml:space="preserve"> _xll.EPMOlapMemberO("[KEY_FIGURES].[].[INITIALINVENTORY]","","Stock","","000")</f>
        <v>Stock</v>
      </c>
      <c r="AQ323" s="2">
        <v>100.8</v>
      </c>
    </row>
    <row r="324" spans="1:52" x14ac:dyDescent="0.35">
      <c r="A324" s="2" t="str">
        <f xml:space="preserve"> _xll.EPMOlapMemberO("[LOCID].[].[Munich plant]","","Munich plant","","000")</f>
        <v>Munich plant</v>
      </c>
      <c r="B324" s="2" t="str">
        <f xml:space="preserve"> _xll.EPMOlapMemberO("[PRDID].[].[999-68017-0888]","","999-68017-0888","","000")</f>
        <v>999-68017-0888</v>
      </c>
      <c r="C324" s="2" t="str">
        <f xml:space="preserve"> _xll.EPMOlapMemberO("[BRAND].[].[ PLAIN PACKAGING]",""," PLAIN PACKAGING","","000")</f>
        <v xml:space="preserve"> PLAIN PACKAGING</v>
      </c>
      <c r="D324" s="2" t="str">
        <f xml:space="preserve"> _xll.EPMOlapMemberO("[AM2MARKETDESCR].[].[FINLAND]","","FINLAND","","000")</f>
        <v>FINLAND</v>
      </c>
      <c r="E324" s="2" t="str">
        <f xml:space="preserve"> _xll.EPMOlapMemberO("[AM2PARENTCUSTGROUP].[].[__NULL]","","(None)","","000")</f>
        <v>(None)</v>
      </c>
      <c r="F324" s="2" t="str">
        <f xml:space="preserve"> _xll.EPMOlapMemberO("[KEY_FIGURES].[].[CONFIRMEDPRODUCTION]","","Production Order","","000")</f>
        <v>Production Order</v>
      </c>
      <c r="AU324" s="2">
        <v>217.5</v>
      </c>
      <c r="AY324" s="2">
        <v>203</v>
      </c>
    </row>
    <row r="325" spans="1:52" x14ac:dyDescent="0.35">
      <c r="A325" s="2" t="str">
        <f xml:space="preserve"> _xll.EPMOlapMemberO("[LOCID].[].[Munich plant]","","Munich plant","","000")</f>
        <v>Munich plant</v>
      </c>
      <c r="B325" s="2" t="str">
        <f xml:space="preserve"> _xll.EPMOlapMemberO("[PRDID].[].[999-68017-0889]","","999-68017-0889","","000")</f>
        <v>999-68017-0889</v>
      </c>
      <c r="C325" s="2" t="str">
        <f xml:space="preserve"> _xll.EPMOlapMemberO("[BRAND].[].[ PLAIN PACKAGING]",""," PLAIN PACKAGING","","000")</f>
        <v xml:space="preserve"> PLAIN PACKAGING</v>
      </c>
      <c r="D325" s="2" t="str">
        <f xml:space="preserve"> _xll.EPMOlapMemberO("[AM2MARKETDESCR].[].[FINLAND]","","FINLAND","","000")</f>
        <v>FINLAND</v>
      </c>
      <c r="E325" s="2" t="str">
        <f xml:space="preserve"> _xll.EPMOlapMemberO("[AM2PARENTCUSTGROUP].[].[__NULL]","","(None)","","000")</f>
        <v>(None)</v>
      </c>
      <c r="F325" s="2" t="str">
        <f xml:space="preserve"> _xll.EPMOlapMemberO("[KEY_FIGURES].[].[INITIALINVENTORY]","","Stock","","000")</f>
        <v>Stock</v>
      </c>
      <c r="AQ325" s="2">
        <v>201.6</v>
      </c>
    </row>
    <row r="326" spans="1:52" x14ac:dyDescent="0.35">
      <c r="A326" s="2" t="str">
        <f xml:space="preserve"> _xll.EPMOlapMemberO("[LOCID].[].[Munich plant]","","Munich plant","","000")</f>
        <v>Munich plant</v>
      </c>
      <c r="B326" s="2" t="str">
        <f xml:space="preserve"> _xll.EPMOlapMemberO("[PRDID].[].[999-68017-0889]","","999-68017-0889","","000")</f>
        <v>999-68017-0889</v>
      </c>
      <c r="C326" s="2" t="str">
        <f xml:space="preserve"> _xll.EPMOlapMemberO("[BRAND].[].[ PLAIN PACKAGING]",""," PLAIN PACKAGING","","000")</f>
        <v xml:space="preserve"> PLAIN PACKAGING</v>
      </c>
      <c r="D326" s="2" t="str">
        <f xml:space="preserve"> _xll.EPMOlapMemberO("[AM2MARKETDESCR].[].[FINLAND]","","FINLAND","","000")</f>
        <v>FINLAND</v>
      </c>
      <c r="E326" s="2" t="str">
        <f xml:space="preserve"> _xll.EPMOlapMemberO("[AM2PARENTCUSTGROUP].[].[__NULL]","","(None)","","000")</f>
        <v>(None)</v>
      </c>
      <c r="F326" s="2" t="str">
        <f xml:space="preserve"> _xll.EPMOlapMemberO("[KEY_FIGURES].[].[CONFIRMEDPRODUCTION]","","Production Order","","000")</f>
        <v>Production Order</v>
      </c>
      <c r="AR326" s="2">
        <v>178.125</v>
      </c>
      <c r="AU326" s="2">
        <v>130.5</v>
      </c>
      <c r="AX326" s="2">
        <v>130.5</v>
      </c>
    </row>
    <row r="327" spans="1:52" x14ac:dyDescent="0.35">
      <c r="A327" s="2" t="str">
        <f xml:space="preserve"> _xll.EPMOlapMemberO("[LOCID].[].[Munich plant]","","Munich plant","","000")</f>
        <v>Munich plant</v>
      </c>
      <c r="B327" s="2" t="str">
        <f xml:space="preserve"> _xll.EPMOlapMemberO("[PRDID].[].[999-68017-0890]","","999-68017-0890","","000")</f>
        <v>999-68017-0890</v>
      </c>
      <c r="C327" s="2" t="str">
        <f xml:space="preserve"> _xll.EPMOlapMemberO("[BRAND].[].[ PLAIN PACKAGING]",""," PLAIN PACKAGING","","000")</f>
        <v xml:space="preserve"> PLAIN PACKAGING</v>
      </c>
      <c r="D327" s="2" t="str">
        <f xml:space="preserve"> _xll.EPMOlapMemberO("[AM2MARKETDESCR].[].[FINLAND]","","FINLAND","","000")</f>
        <v>FINLAND</v>
      </c>
      <c r="E327" s="2" t="str">
        <f xml:space="preserve"> _xll.EPMOlapMemberO("[AM2PARENTCUSTGROUP].[].[__NULL]","","(None)","","000")</f>
        <v>(None)</v>
      </c>
      <c r="F327" s="2" t="str">
        <f xml:space="preserve"> _xll.EPMOlapMemberO("[KEY_FIGURES].[].[INITIALINVENTORY]","","Stock","","000")</f>
        <v>Stock</v>
      </c>
      <c r="AQ327" s="2">
        <v>504</v>
      </c>
    </row>
    <row r="328" spans="1:52" x14ac:dyDescent="0.35">
      <c r="A328" s="2" t="str">
        <f xml:space="preserve"> _xll.EPMOlapMemberO("[LOCID].[].[Munich plant]","","Munich plant","","000")</f>
        <v>Munich plant</v>
      </c>
      <c r="B328" s="2" t="str">
        <f xml:space="preserve"> _xll.EPMOlapMemberO("[PRDID].[].[999-68017-0890]","","999-68017-0890","","000")</f>
        <v>999-68017-0890</v>
      </c>
      <c r="C328" s="2" t="str">
        <f xml:space="preserve"> _xll.EPMOlapMemberO("[BRAND].[].[ PLAIN PACKAGING]",""," PLAIN PACKAGING","","000")</f>
        <v xml:space="preserve"> PLAIN PACKAGING</v>
      </c>
      <c r="D328" s="2" t="str">
        <f xml:space="preserve"> _xll.EPMOlapMemberO("[AM2MARKETDESCR].[].[FINLAND]","","FINLAND","","000")</f>
        <v>FINLAND</v>
      </c>
      <c r="E328" s="2" t="str">
        <f xml:space="preserve"> _xll.EPMOlapMemberO("[AM2PARENTCUSTGROUP].[].[__NULL]","","(None)","","000")</f>
        <v>(None)</v>
      </c>
      <c r="F328" s="2" t="str">
        <f xml:space="preserve"> _xll.EPMOlapMemberO("[KEY_FIGURES].[].[CONFIRMEDPRODUCTION]","","Production Order","","000")</f>
        <v>Production Order</v>
      </c>
      <c r="AU328" s="2">
        <v>652.5</v>
      </c>
      <c r="AY328" s="2">
        <v>609</v>
      </c>
    </row>
    <row r="329" spans="1:52" x14ac:dyDescent="0.35">
      <c r="A329" s="2" t="str">
        <f xml:space="preserve"> _xll.EPMOlapMemberO("[LOCID].[].[Munich plant]","","Munich plant","","000")</f>
        <v>Munich plant</v>
      </c>
      <c r="B329" s="2" t="str">
        <f xml:space="preserve"> _xll.EPMOlapMemberO("[PRDID].[].[999-68017-0891]","","999-68017-0891","","000")</f>
        <v>999-68017-0891</v>
      </c>
      <c r="C329" s="2" t="str">
        <f xml:space="preserve"> _xll.EPMOlapMemberO("[BRAND].[].[ PLAIN PACKAGING]",""," PLAIN PACKAGING","","000")</f>
        <v xml:space="preserve"> PLAIN PACKAGING</v>
      </c>
      <c r="D329" s="2" t="str">
        <f xml:space="preserve"> _xll.EPMOlapMemberO("[AM2MARKETDESCR].[].[FINLAND]","","FINLAND","","000")</f>
        <v>FINLAND</v>
      </c>
      <c r="E329" s="2" t="str">
        <f xml:space="preserve"> _xll.EPMOlapMemberO("[AM2PARENTCUSTGROUP].[].[__NULL]","","(None)","","000")</f>
        <v>(None)</v>
      </c>
      <c r="F329" s="2" t="str">
        <f xml:space="preserve"> _xll.EPMOlapMemberO("[KEY_FIGURES].[].[INITIALINVENTORY]","","Stock","","000")</f>
        <v>Stock</v>
      </c>
      <c r="AQ329" s="2">
        <v>504</v>
      </c>
    </row>
    <row r="330" spans="1:52" x14ac:dyDescent="0.35">
      <c r="A330" s="2" t="str">
        <f xml:space="preserve"> _xll.EPMOlapMemberO("[LOCID].[].[Munich plant]","","Munich plant","","000")</f>
        <v>Munich plant</v>
      </c>
      <c r="B330" s="2" t="str">
        <f xml:space="preserve"> _xll.EPMOlapMemberO("[PRDID].[].[999-68017-0891]","","999-68017-0891","","000")</f>
        <v>999-68017-0891</v>
      </c>
      <c r="C330" s="2" t="str">
        <f xml:space="preserve"> _xll.EPMOlapMemberO("[BRAND].[].[ PLAIN PACKAGING]",""," PLAIN PACKAGING","","000")</f>
        <v xml:space="preserve"> PLAIN PACKAGING</v>
      </c>
      <c r="D330" s="2" t="str">
        <f xml:space="preserve"> _xll.EPMOlapMemberO("[AM2MARKETDESCR].[].[FINLAND]","","FINLAND","","000")</f>
        <v>FINLAND</v>
      </c>
      <c r="E330" s="2" t="str">
        <f xml:space="preserve"> _xll.EPMOlapMemberO("[AM2PARENTCUSTGROUP].[].[__NULL]","","(None)","","000")</f>
        <v>(None)</v>
      </c>
      <c r="F330" s="2" t="str">
        <f xml:space="preserve"> _xll.EPMOlapMemberO("[KEY_FIGURES].[].[CONFIRMEDPRODUCTION]","","Production Order","","000")</f>
        <v>Production Order</v>
      </c>
      <c r="AT330" s="2">
        <v>1218</v>
      </c>
      <c r="AW330" s="2">
        <v>1145.5</v>
      </c>
      <c r="AZ330" s="2">
        <v>1015</v>
      </c>
    </row>
    <row r="331" spans="1:52" x14ac:dyDescent="0.35">
      <c r="A331" s="2" t="str">
        <f xml:space="preserve"> _xll.EPMOlapMemberO("[LOCID].[].[Munich plant]","","Munich plant","","000")</f>
        <v>Munich plant</v>
      </c>
      <c r="B331" s="2" t="str">
        <f xml:space="preserve"> _xll.EPMOlapMemberO("[PRDID].[].[999-68017-0892]","","999-68017-0892","","000")</f>
        <v>999-68017-0892</v>
      </c>
      <c r="C331" s="2" t="str">
        <f xml:space="preserve"> _xll.EPMOlapMemberO("[BRAND].[].[ PLAIN PACKAGING]",""," PLAIN PACKAGING","","000")</f>
        <v xml:space="preserve"> PLAIN PACKAGING</v>
      </c>
      <c r="D331" s="2" t="str">
        <f xml:space="preserve"> _xll.EPMOlapMemberO("[AM2MARKETDESCR].[].[FINLAND]","","FINLAND","","000")</f>
        <v>FINLAND</v>
      </c>
      <c r="E331" s="2" t="str">
        <f xml:space="preserve"> _xll.EPMOlapMemberO("[AM2PARENTCUSTGROUP].[].[__NULL]","","(None)","","000")</f>
        <v>(None)</v>
      </c>
      <c r="F331" s="2" t="str">
        <f xml:space="preserve"> _xll.EPMOlapMemberO("[KEY_FIGURES].[].[INITIALINVENTORY]","","Stock","","000")</f>
        <v>Stock</v>
      </c>
      <c r="AQ331" s="2">
        <v>201.6</v>
      </c>
    </row>
    <row r="332" spans="1:52" x14ac:dyDescent="0.35">
      <c r="A332" s="2" t="str">
        <f xml:space="preserve"> _xll.EPMOlapMemberO("[LOCID].[].[Munich plant]","","Munich plant","","000")</f>
        <v>Munich plant</v>
      </c>
      <c r="B332" s="2" t="str">
        <f xml:space="preserve"> _xll.EPMOlapMemberO("[PRDID].[].[999-68017-0892]","","999-68017-0892","","000")</f>
        <v>999-68017-0892</v>
      </c>
      <c r="C332" s="2" t="str">
        <f xml:space="preserve"> _xll.EPMOlapMemberO("[BRAND].[].[ PLAIN PACKAGING]",""," PLAIN PACKAGING","","000")</f>
        <v xml:space="preserve"> PLAIN PACKAGING</v>
      </c>
      <c r="D332" s="2" t="str">
        <f xml:space="preserve"> _xll.EPMOlapMemberO("[AM2MARKETDESCR].[].[FINLAND]","","FINLAND","","000")</f>
        <v>FINLAND</v>
      </c>
      <c r="E332" s="2" t="str">
        <f xml:space="preserve"> _xll.EPMOlapMemberO("[AM2PARENTCUSTGROUP].[].[__NULL]","","(None)","","000")</f>
        <v>(None)</v>
      </c>
      <c r="F332" s="2" t="str">
        <f xml:space="preserve"> _xll.EPMOlapMemberO("[KEY_FIGURES].[].[CONFIRMEDPRODUCTION]","","Production Order","","000")</f>
        <v>Production Order</v>
      </c>
      <c r="AU332" s="2">
        <v>319</v>
      </c>
      <c r="AY332" s="2">
        <v>290</v>
      </c>
    </row>
    <row r="333" spans="1:52" x14ac:dyDescent="0.35">
      <c r="A333" s="2" t="str">
        <f xml:space="preserve"> _xll.EPMOlapMemberO("[LOCID].[].[Munich plant]","","Munich plant","","000")</f>
        <v>Munich plant</v>
      </c>
      <c r="B333" s="2" t="str">
        <f xml:space="preserve"> _xll.EPMOlapMemberO("[PRDID].[].[999-68017-0893]","","999-68017-0893","","000")</f>
        <v>999-68017-0893</v>
      </c>
      <c r="C333" s="2" t="str">
        <f xml:space="preserve"> _xll.EPMOlapMemberO("[BRAND].[].[ PLAIN PACKAGING]",""," PLAIN PACKAGING","","000")</f>
        <v xml:space="preserve"> PLAIN PACKAGING</v>
      </c>
      <c r="D333" s="2" t="str">
        <f xml:space="preserve"> _xll.EPMOlapMemberO("[AM2MARKETDESCR].[].[FINLAND]","","FINLAND","","000")</f>
        <v>FINLAND</v>
      </c>
      <c r="E333" s="2" t="str">
        <f xml:space="preserve"> _xll.EPMOlapMemberO("[AM2PARENTCUSTGROUP].[].[__NULL]","","(None)","","000")</f>
        <v>(None)</v>
      </c>
      <c r="F333" s="2" t="str">
        <f xml:space="preserve"> _xll.EPMOlapMemberO("[KEY_FIGURES].[].[CONFIRMEDPRODUCTION]","","Production Order","","000")</f>
        <v>Production Order</v>
      </c>
      <c r="AR333" s="2">
        <v>201.6</v>
      </c>
      <c r="AT333" s="2">
        <v>314.16699999999997</v>
      </c>
      <c r="AV333" s="2">
        <v>72.5</v>
      </c>
      <c r="AZ333" s="2">
        <v>145</v>
      </c>
    </row>
    <row r="334" spans="1:52" x14ac:dyDescent="0.35">
      <c r="A334" s="2" t="str">
        <f xml:space="preserve"> _xll.EPMOlapMemberO("[LOCID].[].[Munich plant]","","Munich plant","","000")</f>
        <v>Munich plant</v>
      </c>
      <c r="B334" s="2" t="str">
        <f xml:space="preserve"> _xll.EPMOlapMemberO("[PRDID].[].[999-68017-0894]","","999-68017-0894","","000")</f>
        <v>999-68017-0894</v>
      </c>
      <c r="C334" s="2" t="str">
        <f xml:space="preserve"> _xll.EPMOlapMemberO("[BRAND].[].[ PLAIN PACKAGING]",""," PLAIN PACKAGING","","000")</f>
        <v xml:space="preserve"> PLAIN PACKAGING</v>
      </c>
      <c r="D334" s="2" t="str">
        <f xml:space="preserve"> _xll.EPMOlapMemberO("[AM2MARKETDESCR].[].[FINLAND]","","FINLAND","","000")</f>
        <v>FINLAND</v>
      </c>
      <c r="E334" s="2" t="str">
        <f xml:space="preserve"> _xll.EPMOlapMemberO("[AM2PARENTCUSTGROUP].[].[__NULL]","","(None)","","000")</f>
        <v>(None)</v>
      </c>
      <c r="F334" s="2" t="str">
        <f xml:space="preserve"> _xll.EPMOlapMemberO("[KEY_FIGURES].[].[CONFIRMEDPRODUCTION]","","Production Order","","000")</f>
        <v>Production Order</v>
      </c>
      <c r="AS334" s="2">
        <v>319</v>
      </c>
      <c r="AW334" s="2">
        <v>159.5</v>
      </c>
    </row>
    <row r="335" spans="1:52" x14ac:dyDescent="0.35">
      <c r="A335" s="2" t="str">
        <f xml:space="preserve"> _xll.EPMOlapMemberO("[LOCID].[].[Munich plant]","","Munich plant","","000")</f>
        <v>Munich plant</v>
      </c>
      <c r="B335" s="2" t="str">
        <f xml:space="preserve"> _xll.EPMOlapMemberO("[PRDID].[].[999-68017-0895]","","999-68017-0895","","000")</f>
        <v>999-68017-0895</v>
      </c>
      <c r="C335" s="2" t="str">
        <f xml:space="preserve"> _xll.EPMOlapMemberO("[BRAND].[].[ PLAIN PACKAGING]",""," PLAIN PACKAGING","","000")</f>
        <v xml:space="preserve"> PLAIN PACKAGING</v>
      </c>
      <c r="D335" s="2" t="str">
        <f xml:space="preserve"> _xll.EPMOlapMemberO("[AM2MARKETDESCR].[].[FR-MRO]","","FR-MRO","","000")</f>
        <v>FR-MRO</v>
      </c>
      <c r="E335" s="2" t="str">
        <f xml:space="preserve"> _xll.EPMOlapMemberO("[AM2PARENTCUSTGROUP].[].[__NULL]","","(None)","","000")</f>
        <v>(None)</v>
      </c>
      <c r="F335" s="2" t="str">
        <f xml:space="preserve"> _xll.EPMOlapMemberO("[KEY_FIGURES].[].[CONFIRMEDPRODUCTION]","","Production Order","","000")</f>
        <v>Production Order</v>
      </c>
      <c r="AR335" s="2">
        <v>180</v>
      </c>
      <c r="AU335" s="2">
        <v>25</v>
      </c>
      <c r="AX335" s="2">
        <v>25</v>
      </c>
    </row>
    <row r="336" spans="1:52" x14ac:dyDescent="0.35">
      <c r="A336" s="2" t="str">
        <f xml:space="preserve"> _xll.EPMOlapMemberO("[LOCID].[].[Munich plant]","","Munich plant","","000")</f>
        <v>Munich plant</v>
      </c>
      <c r="B336" s="2" t="str">
        <f xml:space="preserve"> _xll.EPMOlapMemberO("[PRDID].[].[999-68017-0896]","","999-68017-0896","","000")</f>
        <v>999-68017-0896</v>
      </c>
      <c r="C336" s="2" t="str">
        <f xml:space="preserve"> _xll.EPMOlapMemberO("[BRAND].[].[ PLAIN PACKAGING]",""," PLAIN PACKAGING","","000")</f>
        <v xml:space="preserve"> PLAIN PACKAGING</v>
      </c>
      <c r="D336" s="2" t="str">
        <f xml:space="preserve"> _xll.EPMOlapMemberO("[AM2MARKETDESCR].[].[FR-MRO]","","FR-MRO","","000")</f>
        <v>FR-MRO</v>
      </c>
      <c r="E336" s="2" t="str">
        <f xml:space="preserve"> _xll.EPMOlapMemberO("[AM2PARENTCUSTGROUP].[].[__NULL]","","(None)","","000")</f>
        <v>(None)</v>
      </c>
      <c r="F336" s="2" t="str">
        <f xml:space="preserve"> _xll.EPMOlapMemberO("[KEY_FIGURES].[].[CONFIRMEDPRODUCTION]","","Production Order","","000")</f>
        <v>Production Order</v>
      </c>
      <c r="AV336" s="2">
        <v>80</v>
      </c>
      <c r="AY336" s="2">
        <v>75</v>
      </c>
    </row>
    <row r="337" spans="1:52" x14ac:dyDescent="0.35">
      <c r="A337" s="2" t="str">
        <f xml:space="preserve"> _xll.EPMOlapMemberO("[LOCID].[].[Munich plant]","","Munich plant","","000")</f>
        <v>Munich plant</v>
      </c>
      <c r="B337" s="2" t="str">
        <f xml:space="preserve"> _xll.EPMOlapMemberO("[PRDID].[].[999-68017-0897]","","999-68017-0897","","000")</f>
        <v>999-68017-0897</v>
      </c>
      <c r="C337" s="2" t="str">
        <f xml:space="preserve"> _xll.EPMOlapMemberO("[BRAND].[].[ PLAIN PACKAGING]",""," PLAIN PACKAGING","","000")</f>
        <v xml:space="preserve"> PLAIN PACKAGING</v>
      </c>
      <c r="D337" s="2" t="str">
        <f xml:space="preserve"> _xll.EPMOlapMemberO("[AM2MARKETDESCR].[].[FR-MRO]","","FR-MRO","","000")</f>
        <v>FR-MRO</v>
      </c>
      <c r="E337" s="2" t="str">
        <f xml:space="preserve"> _xll.EPMOlapMemberO("[AM2PARENTCUSTGROUP].[].[__NULL]","","(None)","","000")</f>
        <v>(None)</v>
      </c>
      <c r="F337" s="2" t="str">
        <f xml:space="preserve"> _xll.EPMOlapMemberO("[KEY_FIGURES].[].[INITIALINVENTORY]","","Stock","","000")</f>
        <v>Stock</v>
      </c>
      <c r="AQ337" s="2">
        <v>105</v>
      </c>
    </row>
    <row r="338" spans="1:52" x14ac:dyDescent="0.35">
      <c r="A338" s="2" t="str">
        <f xml:space="preserve"> _xll.EPMOlapMemberO("[LOCID].[].[Munich plant]","","Munich plant","","000")</f>
        <v>Munich plant</v>
      </c>
      <c r="B338" s="2" t="str">
        <f xml:space="preserve"> _xll.EPMOlapMemberO("[PRDID].[].[999-68017-0897]","","999-68017-0897","","000")</f>
        <v>999-68017-0897</v>
      </c>
      <c r="C338" s="2" t="str">
        <f xml:space="preserve"> _xll.EPMOlapMemberO("[BRAND].[].[ PLAIN PACKAGING]",""," PLAIN PACKAGING","","000")</f>
        <v xml:space="preserve"> PLAIN PACKAGING</v>
      </c>
      <c r="D338" s="2" t="str">
        <f xml:space="preserve"> _xll.EPMOlapMemberO("[AM2MARKETDESCR].[].[FR-MRO]","","FR-MRO","","000")</f>
        <v>FR-MRO</v>
      </c>
      <c r="E338" s="2" t="str">
        <f xml:space="preserve"> _xll.EPMOlapMemberO("[AM2PARENTCUSTGROUP].[].[__NULL]","","(None)","","000")</f>
        <v>(None)</v>
      </c>
      <c r="F338" s="2" t="str">
        <f xml:space="preserve"> _xll.EPMOlapMemberO("[KEY_FIGURES].[].[CONFIRMEDPRODUCTION]","","Production Order","","000")</f>
        <v>Production Order</v>
      </c>
      <c r="AU338" s="2">
        <v>115</v>
      </c>
      <c r="AY338" s="2">
        <v>25</v>
      </c>
    </row>
    <row r="339" spans="1:52" x14ac:dyDescent="0.35">
      <c r="A339" s="2" t="str">
        <f xml:space="preserve"> _xll.EPMOlapMemberO("[LOCID].[].[Munich plant]","","Munich plant","","000")</f>
        <v>Munich plant</v>
      </c>
      <c r="B339" s="2" t="str">
        <f xml:space="preserve"> _xll.EPMOlapMemberO("[PRDID].[].[999-68017-0898]","","999-68017-0898","","000")</f>
        <v>999-68017-0898</v>
      </c>
      <c r="C339" s="2" t="str">
        <f xml:space="preserve"> _xll.EPMOlapMemberO("[BRAND].[].[ PLAIN PACKAGING]",""," PLAIN PACKAGING","","000")</f>
        <v xml:space="preserve"> PLAIN PACKAGING</v>
      </c>
      <c r="D339" s="2" t="str">
        <f xml:space="preserve"> _xll.EPMOlapMemberO("[AM2MARKETDESCR].[].[IRELAND DF]","","IRELAND DF","","000")</f>
        <v>IRELAND DF</v>
      </c>
      <c r="E339" s="2" t="str">
        <f xml:space="preserve"> _xll.EPMOlapMemberO("[AM2PARENTCUSTGROUP].[].[__NULL]","","(None)","","000")</f>
        <v>(None)</v>
      </c>
      <c r="F339" s="2" t="str">
        <f xml:space="preserve"> _xll.EPMOlapMemberO("[KEY_FIGURES].[].[INITIALINVENTORY]","","Stock","","000")</f>
        <v>Stock</v>
      </c>
      <c r="AQ339" s="2">
        <v>105</v>
      </c>
    </row>
    <row r="340" spans="1:52" x14ac:dyDescent="0.35">
      <c r="A340" s="2" t="str">
        <f xml:space="preserve"> _xll.EPMOlapMemberO("[LOCID].[].[Munich plant]","","Munich plant","","000")</f>
        <v>Munich plant</v>
      </c>
      <c r="B340" s="2" t="str">
        <f xml:space="preserve"> _xll.EPMOlapMemberO("[PRDID].[].[999-68017-0899]","","999-68017-0899","","000")</f>
        <v>999-68017-0899</v>
      </c>
      <c r="C340" s="2" t="str">
        <f xml:space="preserve"> _xll.EPMOlapMemberO("[BRAND].[].[ PLAIN PACKAGING]",""," PLAIN PACKAGING","","000")</f>
        <v xml:space="preserve"> PLAIN PACKAGING</v>
      </c>
      <c r="D340" s="2" t="str">
        <f xml:space="preserve"> _xll.EPMOlapMemberO("[AM2MARKETDESCR].[].[IRELAND DF]","","IRELAND DF","","000")</f>
        <v>IRELAND DF</v>
      </c>
      <c r="E340" s="2" t="str">
        <f xml:space="preserve"> _xll.EPMOlapMemberO("[AM2PARENTCUSTGROUP].[].[__NULL]","","(None)","","000")</f>
        <v>(None)</v>
      </c>
      <c r="F340" s="2" t="str">
        <f xml:space="preserve"> _xll.EPMOlapMemberO("[KEY_FIGURES].[].[INITIALINVENTORY]","","Stock","","000")</f>
        <v>Stock</v>
      </c>
      <c r="AQ340" s="2">
        <v>735</v>
      </c>
    </row>
    <row r="341" spans="1:52" x14ac:dyDescent="0.35">
      <c r="A341" s="2" t="str">
        <f xml:space="preserve"> _xll.EPMOlapMemberO("[LOCID].[].[Munich plant]","","Munich plant","","000")</f>
        <v>Munich plant</v>
      </c>
      <c r="B341" s="2" t="str">
        <f xml:space="preserve"> _xll.EPMOlapMemberO("[PRDID].[].[999-68017-0899]","","999-68017-0899","","000")</f>
        <v>999-68017-0899</v>
      </c>
      <c r="C341" s="2" t="str">
        <f xml:space="preserve"> _xll.EPMOlapMemberO("[BRAND].[].[ PLAIN PACKAGING]",""," PLAIN PACKAGING","","000")</f>
        <v xml:space="preserve"> PLAIN PACKAGING</v>
      </c>
      <c r="D341" s="2" t="str">
        <f xml:space="preserve"> _xll.EPMOlapMemberO("[AM2MARKETDESCR].[].[IRELAND DF]","","IRELAND DF","","000")</f>
        <v>IRELAND DF</v>
      </c>
      <c r="E341" s="2" t="str">
        <f xml:space="preserve"> _xll.EPMOlapMemberO("[AM2PARENTCUSTGROUP].[].[__NULL]","","(None)","","000")</f>
        <v>(None)</v>
      </c>
      <c r="F341" s="2" t="str">
        <f xml:space="preserve"> _xll.EPMOlapMemberO("[KEY_FIGURES].[].[CONFIRMEDPRODUCTION]","","Production Order","","000")</f>
        <v>Production Order</v>
      </c>
      <c r="AV341" s="2">
        <v>635</v>
      </c>
      <c r="AY341" s="2">
        <v>620</v>
      </c>
    </row>
    <row r="342" spans="1:52" x14ac:dyDescent="0.35">
      <c r="A342" s="2" t="str">
        <f xml:space="preserve"> _xll.EPMOlapMemberO("[LOCID].[].[Munich plant]","","Munich plant","","000")</f>
        <v>Munich plant</v>
      </c>
      <c r="B342" s="2" t="str">
        <f xml:space="preserve"> _xll.EPMOlapMemberO("[PRDID].[].[999-68017-0900]","","999-68017-0900","","000")</f>
        <v>999-68017-0900</v>
      </c>
      <c r="C342" s="2" t="str">
        <f xml:space="preserve"> _xll.EPMOlapMemberO("[BRAND].[].[ PLAIN PACKAGING]",""," PLAIN PACKAGING","","000")</f>
        <v xml:space="preserve"> PLAIN PACKAGING</v>
      </c>
      <c r="D342" s="2" t="str">
        <f xml:space="preserve"> _xll.EPMOlapMemberO("[AM2MARKETDESCR].[].[IRELAND DF]","","IRELAND DF","","000")</f>
        <v>IRELAND DF</v>
      </c>
      <c r="E342" s="2" t="str">
        <f xml:space="preserve"> _xll.EPMOlapMemberO("[AM2PARENTCUSTGROUP].[].[__NULL]","","(None)","","000")</f>
        <v>(None)</v>
      </c>
      <c r="F342" s="2" t="str">
        <f xml:space="preserve"> _xll.EPMOlapMemberO("[KEY_FIGURES].[].[CONFIRMEDPRODUCTION]","","Production Order","","000")</f>
        <v>Production Order</v>
      </c>
      <c r="AR342" s="2">
        <v>210</v>
      </c>
      <c r="AT342" s="2">
        <v>110</v>
      </c>
      <c r="AW342" s="2">
        <v>145</v>
      </c>
      <c r="AZ342" s="2">
        <v>150</v>
      </c>
    </row>
    <row r="343" spans="1:52" x14ac:dyDescent="0.35">
      <c r="A343" s="2" t="str">
        <f xml:space="preserve"> _xll.EPMOlapMemberO("[LOCID].[].[Munich plant]","","Munich plant","","000")</f>
        <v>Munich plant</v>
      </c>
      <c r="B343" s="2" t="str">
        <f xml:space="preserve"> _xll.EPMOlapMemberO("[PRDID].[].[999-68017-0901]","","999-68017-0901","","000")</f>
        <v>999-68017-0901</v>
      </c>
      <c r="C343" s="2" t="str">
        <f xml:space="preserve"> _xll.EPMOlapMemberO("[BRAND].[].[ PLAIN PACKAGING]",""," PLAIN PACKAGING","","000")</f>
        <v xml:space="preserve"> PLAIN PACKAGING</v>
      </c>
      <c r="D343" s="2" t="str">
        <f xml:space="preserve"> _xll.EPMOlapMemberO("[AM2MARKETDESCR].[].[IRELAND DF]","","IRELAND DF","","000")</f>
        <v>IRELAND DF</v>
      </c>
      <c r="E343" s="2" t="str">
        <f xml:space="preserve"> _xll.EPMOlapMemberO("[AM2PARENTCUSTGROUP].[].[__NULL]","","(None)","","000")</f>
        <v>(None)</v>
      </c>
      <c r="F343" s="2" t="str">
        <f xml:space="preserve"> _xll.EPMOlapMemberO("[KEY_FIGURES].[].[INITIALINVENTORY]","","Stock","","000")</f>
        <v>Stock</v>
      </c>
      <c r="AQ343" s="2">
        <v>210</v>
      </c>
    </row>
    <row r="344" spans="1:52" x14ac:dyDescent="0.35">
      <c r="A344" s="2" t="str">
        <f xml:space="preserve"> _xll.EPMOlapMemberO("[LOCID].[].[Munich plant]","","Munich plant","","000")</f>
        <v>Munich plant</v>
      </c>
      <c r="B344" s="2" t="str">
        <f xml:space="preserve"> _xll.EPMOlapMemberO("[PRDID].[].[999-68017-0901]","","999-68017-0901","","000")</f>
        <v>999-68017-0901</v>
      </c>
      <c r="C344" s="2" t="str">
        <f xml:space="preserve"> _xll.EPMOlapMemberO("[BRAND].[].[ PLAIN PACKAGING]",""," PLAIN PACKAGING","","000")</f>
        <v xml:space="preserve"> PLAIN PACKAGING</v>
      </c>
      <c r="D344" s="2" t="str">
        <f xml:space="preserve"> _xll.EPMOlapMemberO("[AM2MARKETDESCR].[].[IRELAND DF]","","IRELAND DF","","000")</f>
        <v>IRELAND DF</v>
      </c>
      <c r="E344" s="2" t="str">
        <f xml:space="preserve"> _xll.EPMOlapMemberO("[AM2PARENTCUSTGROUP].[].[__NULL]","","(None)","","000")</f>
        <v>(None)</v>
      </c>
      <c r="F344" s="2" t="str">
        <f xml:space="preserve"> _xll.EPMOlapMemberO("[KEY_FIGURES].[].[CONFIRMEDPRODUCTION]","","Production Order","","000")</f>
        <v>Production Order</v>
      </c>
      <c r="AR344" s="2">
        <v>95</v>
      </c>
      <c r="AV344" s="2">
        <v>150</v>
      </c>
      <c r="AY344" s="2">
        <v>140</v>
      </c>
    </row>
    <row r="345" spans="1:52" x14ac:dyDescent="0.35">
      <c r="A345" s="2" t="str">
        <f xml:space="preserve"> _xll.EPMOlapMemberO("[LOCID].[].[Munich plant]","","Munich plant","","000")</f>
        <v>Munich plant</v>
      </c>
      <c r="B345" s="2" t="str">
        <f xml:space="preserve"> _xll.EPMOlapMemberO("[PRDID].[].[999-68017-0902]","","999-68017-0902","","000")</f>
        <v>999-68017-0902</v>
      </c>
      <c r="C345" s="2" t="str">
        <f xml:space="preserve"> _xll.EPMOlapMemberO("[BRAND].[].[ PLAIN PACKAGING]",""," PLAIN PACKAGING","","000")</f>
        <v xml:space="preserve"> PLAIN PACKAGING</v>
      </c>
      <c r="D345" s="2" t="str">
        <f xml:space="preserve"> _xll.EPMOlapMemberO("[AM2MARKETDESCR].[].[FR-MRO]","","FR-MRO","","000")</f>
        <v>FR-MRO</v>
      </c>
      <c r="E345" s="2" t="str">
        <f xml:space="preserve"> _xll.EPMOlapMemberO("[AM2PARENTCUSTGROUP].[].[__NULL]","","(None)","","000")</f>
        <v>(None)</v>
      </c>
      <c r="F345" s="2" t="str">
        <f xml:space="preserve"> _xll.EPMOlapMemberO("[KEY_FIGURES].[].[CONFIRMEDPRODUCTION]","","Production Order","","000")</f>
        <v>Production Order</v>
      </c>
      <c r="AV345" s="2">
        <v>90</v>
      </c>
      <c r="AY345" s="2">
        <v>85</v>
      </c>
    </row>
    <row r="346" spans="1:52" x14ac:dyDescent="0.35">
      <c r="A346" s="2" t="str">
        <f xml:space="preserve"> _xll.EPMOlapMemberO("[LOCID].[].[Munich plant]","","Munich plant","","000")</f>
        <v>Munich plant</v>
      </c>
      <c r="B346" s="2" t="str">
        <f xml:space="preserve"> _xll.EPMOlapMemberO("[PRDID].[].[999-68017-0903]","","999-68017-0903","","000")</f>
        <v>999-68017-0903</v>
      </c>
      <c r="C346" s="2" t="str">
        <f xml:space="preserve"> _xll.EPMOlapMemberO("[BRAND].[].[ PLAIN PACKAGING]",""," PLAIN PACKAGING","","000")</f>
        <v xml:space="preserve"> PLAIN PACKAGING</v>
      </c>
      <c r="D346" s="2" t="str">
        <f xml:space="preserve"> _xll.EPMOlapMemberO("[AM2MARKETDESCR].[].[FR-MRO]","","FR-MRO","","000")</f>
        <v>FR-MRO</v>
      </c>
      <c r="E346" s="2" t="str">
        <f xml:space="preserve"> _xll.EPMOlapMemberO("[AM2PARENTCUSTGROUP].[].[__NULL]","","(None)","","000")</f>
        <v>(None)</v>
      </c>
      <c r="F346" s="2" t="str">
        <f xml:space="preserve"> _xll.EPMOlapMemberO("[KEY_FIGURES].[].[INITIALINVENTORY]","","Stock","","000")</f>
        <v>Stock</v>
      </c>
      <c r="AQ346" s="2">
        <v>105</v>
      </c>
    </row>
    <row r="347" spans="1:52" x14ac:dyDescent="0.35">
      <c r="A347" s="2" t="str">
        <f xml:space="preserve"> _xll.EPMOlapMemberO("[LOCID].[].[Munich plant]","","Munich plant","","000")</f>
        <v>Munich plant</v>
      </c>
      <c r="B347" s="2" t="str">
        <f xml:space="preserve"> _xll.EPMOlapMemberO("[PRDID].[].[999-68017-0903]","","999-68017-0903","","000")</f>
        <v>999-68017-0903</v>
      </c>
      <c r="C347" s="2" t="str">
        <f xml:space="preserve"> _xll.EPMOlapMemberO("[BRAND].[].[ PLAIN PACKAGING]",""," PLAIN PACKAGING","","000")</f>
        <v xml:space="preserve"> PLAIN PACKAGING</v>
      </c>
      <c r="D347" s="2" t="str">
        <f xml:space="preserve"> _xll.EPMOlapMemberO("[AM2MARKETDESCR].[].[FR-MRO]","","FR-MRO","","000")</f>
        <v>FR-MRO</v>
      </c>
      <c r="E347" s="2" t="str">
        <f xml:space="preserve"> _xll.EPMOlapMemberO("[AM2PARENTCUSTGROUP].[].[__NULL]","","(None)","","000")</f>
        <v>(None)</v>
      </c>
      <c r="F347" s="2" t="str">
        <f xml:space="preserve"> _xll.EPMOlapMemberO("[KEY_FIGURES].[].[CONFIRMEDPRODUCTION]","","Production Order","","000")</f>
        <v>Production Order</v>
      </c>
      <c r="AU347" s="2">
        <v>115</v>
      </c>
      <c r="AX347" s="2">
        <v>130</v>
      </c>
    </row>
    <row r="348" spans="1:52" x14ac:dyDescent="0.35">
      <c r="A348" s="2" t="str">
        <f xml:space="preserve"> _xll.EPMOlapMemberO("[LOCID].[].[Munich plant]","","Munich plant","","000")</f>
        <v>Munich plant</v>
      </c>
      <c r="B348" s="2" t="str">
        <f xml:space="preserve"> _xll.EPMOlapMemberO("[PRDID].[].[999-68017-0904]","","999-68017-0904","","000")</f>
        <v>999-68017-0904</v>
      </c>
      <c r="C348" s="2" t="str">
        <f xml:space="preserve"> _xll.EPMOlapMemberO("[BRAND].[].[ PLAIN PACKAGING]",""," PLAIN PACKAGING","","000")</f>
        <v xml:space="preserve"> PLAIN PACKAGING</v>
      </c>
      <c r="D348" s="2" t="str">
        <f xml:space="preserve"> _xll.EPMOlapMemberO("[AM2MARKETDESCR].[].[FR-MRO]","","FR-MRO","","000")</f>
        <v>FR-MRO</v>
      </c>
      <c r="E348" s="2" t="str">
        <f xml:space="preserve"> _xll.EPMOlapMemberO("[AM2PARENTCUSTGROUP].[].[__NULL]","","(None)","","000")</f>
        <v>(None)</v>
      </c>
      <c r="F348" s="2" t="str">
        <f xml:space="preserve"> _xll.EPMOlapMemberO("[KEY_FIGURES].[].[CONFIRMEDPRODUCTION]","","Production Order","","000")</f>
        <v>Production Order</v>
      </c>
      <c r="AR348" s="2">
        <v>180</v>
      </c>
      <c r="AU348" s="2">
        <v>25</v>
      </c>
      <c r="AX348" s="2">
        <v>25</v>
      </c>
    </row>
    <row r="349" spans="1:52" x14ac:dyDescent="0.35">
      <c r="A349" s="2" t="str">
        <f xml:space="preserve"> _xll.EPMOlapMemberO("[LOCID].[].[Munich plant]","","Munich plant","","000")</f>
        <v>Munich plant</v>
      </c>
      <c r="B349" s="2" t="str">
        <f xml:space="preserve"> _xll.EPMOlapMemberO("[PRDID].[].[999-68017-0905]","","999-68017-0905","","000")</f>
        <v>999-68017-0905</v>
      </c>
      <c r="C349" s="2" t="str">
        <f xml:space="preserve"> _xll.EPMOlapMemberO("[BRAND].[].[ PLAIN PACKAGING]",""," PLAIN PACKAGING","","000")</f>
        <v xml:space="preserve"> PLAIN PACKAGING</v>
      </c>
      <c r="D349" s="2" t="str">
        <f xml:space="preserve"> _xll.EPMOlapMemberO("[AM2MARKETDESCR].[].[FRANCE]","","FRANCE","","000")</f>
        <v>FRANCE</v>
      </c>
      <c r="E349" s="2" t="str">
        <f xml:space="preserve"> _xll.EPMOlapMemberO("[AM2PARENTCUSTGROUP].[].[__NULL]","","(None)","","000")</f>
        <v>(None)</v>
      </c>
      <c r="F349" s="2" t="str">
        <f xml:space="preserve"> _xll.EPMOlapMemberO("[KEY_FIGURES].[].[INITIALINVENTORY]","","Stock","","000")</f>
        <v>Stock</v>
      </c>
      <c r="AQ349" s="2">
        <v>2016</v>
      </c>
    </row>
    <row r="350" spans="1:52" x14ac:dyDescent="0.35">
      <c r="A350" s="2" t="str">
        <f xml:space="preserve"> _xll.EPMOlapMemberO("[LOCID].[].[Munich plant]","","Munich plant","","000")</f>
        <v>Munich plant</v>
      </c>
      <c r="B350" s="2" t="str">
        <f xml:space="preserve"> _xll.EPMOlapMemberO("[PRDID].[].[999-68017-0905]","","999-68017-0905","","000")</f>
        <v>999-68017-0905</v>
      </c>
      <c r="C350" s="2" t="str">
        <f xml:space="preserve"> _xll.EPMOlapMemberO("[BRAND].[].[ PLAIN PACKAGING]",""," PLAIN PACKAGING","","000")</f>
        <v xml:space="preserve"> PLAIN PACKAGING</v>
      </c>
      <c r="D350" s="2" t="str">
        <f xml:space="preserve"> _xll.EPMOlapMemberO("[AM2MARKETDESCR].[].[FRANCE]","","FRANCE","","000")</f>
        <v>FRANCE</v>
      </c>
      <c r="E350" s="2" t="str">
        <f xml:space="preserve"> _xll.EPMOlapMemberO("[AM2PARENTCUSTGROUP].[].[__NULL]","","(None)","","000")</f>
        <v>(None)</v>
      </c>
      <c r="F350" s="2" t="str">
        <f xml:space="preserve"> _xll.EPMOlapMemberO("[KEY_FIGURES].[].[CONFIRMEDPRODUCTION]","","Production Order","","000")</f>
        <v>Production Order</v>
      </c>
      <c r="AR350" s="2">
        <v>2016</v>
      </c>
      <c r="AT350" s="2">
        <v>3074</v>
      </c>
      <c r="AW350" s="2">
        <v>2320</v>
      </c>
      <c r="AZ350" s="2">
        <v>2798.5</v>
      </c>
    </row>
    <row r="351" spans="1:52" x14ac:dyDescent="0.35">
      <c r="A351" s="2" t="str">
        <f xml:space="preserve"> _xll.EPMOlapMemberO("[LOCID].[].[Munich plant]","","Munich plant","","000")</f>
        <v>Munich plant</v>
      </c>
      <c r="B351" s="2" t="str">
        <f xml:space="preserve"> _xll.EPMOlapMemberO("[PRDID].[].[999-68017-0906]","","999-68017-0906","","000")</f>
        <v>999-68017-0906</v>
      </c>
      <c r="C351" s="2" t="str">
        <f xml:space="preserve"> _xll.EPMOlapMemberO("[BRAND].[].[ PLAIN PACKAGING]",""," PLAIN PACKAGING","","000")</f>
        <v xml:space="preserve"> PLAIN PACKAGING</v>
      </c>
      <c r="D351" s="2" t="str">
        <f xml:space="preserve"> _xll.EPMOlapMemberO("[AM2MARKETDESCR].[].[FRANCE]","","FRANCE","","000")</f>
        <v>FRANCE</v>
      </c>
      <c r="E351" s="2" t="str">
        <f xml:space="preserve"> _xll.EPMOlapMemberO("[AM2PARENTCUSTGROUP].[].[__NULL]","","(None)","","000")</f>
        <v>(None)</v>
      </c>
      <c r="F351" s="2" t="str">
        <f xml:space="preserve"> _xll.EPMOlapMemberO("[KEY_FIGURES].[].[CONFIRMEDPRODUCTION]","","Production Order","","000")</f>
        <v>Production Order</v>
      </c>
      <c r="AR351" s="2">
        <v>330</v>
      </c>
      <c r="AU351" s="2">
        <v>90</v>
      </c>
      <c r="AX351" s="2">
        <v>85</v>
      </c>
    </row>
    <row r="352" spans="1:52" x14ac:dyDescent="0.35">
      <c r="A352" s="2" t="str">
        <f xml:space="preserve"> _xll.EPMOlapMemberO("[LOCID].[].[Munich plant]","","Munich plant","","000")</f>
        <v>Munich plant</v>
      </c>
      <c r="B352" s="2" t="str">
        <f xml:space="preserve"> _xll.EPMOlapMemberO("[PRDID].[].[999-68017-0907]","","999-68017-0907","","000")</f>
        <v>999-68017-0907</v>
      </c>
      <c r="C352" s="2" t="str">
        <f xml:space="preserve"> _xll.EPMOlapMemberO("[BRAND].[].[ PLAIN PACKAGING]",""," PLAIN PACKAGING","","000")</f>
        <v xml:space="preserve"> PLAIN PACKAGING</v>
      </c>
      <c r="D352" s="2" t="str">
        <f xml:space="preserve"> _xll.EPMOlapMemberO("[AM2MARKETDESCR].[].[FRANCE]","","FRANCE","","000")</f>
        <v>FRANCE</v>
      </c>
      <c r="E352" s="2" t="str">
        <f xml:space="preserve"> _xll.EPMOlapMemberO("[AM2PARENTCUSTGROUP].[].[__NULL]","","(None)","","000")</f>
        <v>(None)</v>
      </c>
      <c r="F352" s="2" t="str">
        <f xml:space="preserve"> _xll.EPMOlapMemberO("[KEY_FIGURES].[].[INITIALINVENTORY]","","Stock","","000")</f>
        <v>Stock</v>
      </c>
      <c r="AQ352" s="2">
        <v>210</v>
      </c>
    </row>
    <row r="353" spans="1:52" x14ac:dyDescent="0.35">
      <c r="A353" s="2" t="str">
        <f xml:space="preserve"> _xll.EPMOlapMemberO("[LOCID].[].[Munich plant]","","Munich plant","","000")</f>
        <v>Munich plant</v>
      </c>
      <c r="B353" s="2" t="str">
        <f xml:space="preserve"> _xll.EPMOlapMemberO("[PRDID].[].[999-68017-0907]","","999-68017-0907","","000")</f>
        <v>999-68017-0907</v>
      </c>
      <c r="C353" s="2" t="str">
        <f xml:space="preserve"> _xll.EPMOlapMemberO("[BRAND].[].[ PLAIN PACKAGING]",""," PLAIN PACKAGING","","000")</f>
        <v xml:space="preserve"> PLAIN PACKAGING</v>
      </c>
      <c r="D353" s="2" t="str">
        <f xml:space="preserve"> _xll.EPMOlapMemberO("[AM2MARKETDESCR].[].[FRANCE]","","FRANCE","","000")</f>
        <v>FRANCE</v>
      </c>
      <c r="E353" s="2" t="str">
        <f xml:space="preserve"> _xll.EPMOlapMemberO("[AM2PARENTCUSTGROUP].[].[__NULL]","","(None)","","000")</f>
        <v>(None)</v>
      </c>
      <c r="F353" s="2" t="str">
        <f xml:space="preserve"> _xll.EPMOlapMemberO("[KEY_FIGURES].[].[CONFIRMEDPRODUCTION]","","Production Order","","000")</f>
        <v>Production Order</v>
      </c>
      <c r="AU353" s="2">
        <v>305</v>
      </c>
      <c r="AY353" s="2">
        <v>290</v>
      </c>
    </row>
    <row r="354" spans="1:52" x14ac:dyDescent="0.35">
      <c r="A354" s="2" t="str">
        <f xml:space="preserve"> _xll.EPMOlapMemberO("[LOCID].[].[Munich plant]","","Munich plant","","000")</f>
        <v>Munich plant</v>
      </c>
      <c r="B354" s="2" t="str">
        <f xml:space="preserve"> _xll.EPMOlapMemberO("[PRDID].[].[999-68017-0908]","","999-68017-0908","","000")</f>
        <v>999-68017-0908</v>
      </c>
      <c r="C354" s="2" t="str">
        <f xml:space="preserve"> _xll.EPMOlapMemberO("[BRAND].[].[ PLAIN PACKAGING]",""," PLAIN PACKAGING","","000")</f>
        <v xml:space="preserve"> PLAIN PACKAGING</v>
      </c>
      <c r="D354" s="2" t="str">
        <f xml:space="preserve"> _xll.EPMOlapMemberO("[AM2MARKETDESCR].[].[FRANCE]","","FRANCE","","000")</f>
        <v>FRANCE</v>
      </c>
      <c r="E354" s="2" t="str">
        <f xml:space="preserve"> _xll.EPMOlapMemberO("[AM2PARENTCUSTGROUP].[].[__NULL]","","(None)","","000")</f>
        <v>(None)</v>
      </c>
      <c r="F354" s="2" t="str">
        <f xml:space="preserve"> _xll.EPMOlapMemberO("[KEY_FIGURES].[].[INITIALINVENTORY]","","Stock","","000")</f>
        <v>Stock</v>
      </c>
      <c r="AQ354" s="2">
        <v>735</v>
      </c>
    </row>
    <row r="355" spans="1:52" x14ac:dyDescent="0.35">
      <c r="A355" s="2" t="str">
        <f xml:space="preserve"> _xll.EPMOlapMemberO("[LOCID].[].[Munich plant]","","Munich plant","","000")</f>
        <v>Munich plant</v>
      </c>
      <c r="B355" s="2" t="str">
        <f xml:space="preserve"> _xll.EPMOlapMemberO("[PRDID].[].[999-68017-0908]","","999-68017-0908","","000")</f>
        <v>999-68017-0908</v>
      </c>
      <c r="C355" s="2" t="str">
        <f xml:space="preserve"> _xll.EPMOlapMemberO("[BRAND].[].[ PLAIN PACKAGING]",""," PLAIN PACKAGING","","000")</f>
        <v xml:space="preserve"> PLAIN PACKAGING</v>
      </c>
      <c r="D355" s="2" t="str">
        <f xml:space="preserve"> _xll.EPMOlapMemberO("[AM2MARKETDESCR].[].[FRANCE]","","FRANCE","","000")</f>
        <v>FRANCE</v>
      </c>
      <c r="E355" s="2" t="str">
        <f xml:space="preserve"> _xll.EPMOlapMemberO("[AM2PARENTCUSTGROUP].[].[__NULL]","","(None)","","000")</f>
        <v>(None)</v>
      </c>
      <c r="F355" s="2" t="str">
        <f xml:space="preserve"> _xll.EPMOlapMemberO("[KEY_FIGURES].[].[CONFIRMEDPRODUCTION]","","Production Order","","000")</f>
        <v>Production Order</v>
      </c>
      <c r="AR355" s="2">
        <v>1500</v>
      </c>
      <c r="AV355" s="2">
        <v>690</v>
      </c>
      <c r="AZ355" s="2">
        <v>750</v>
      </c>
    </row>
    <row r="356" spans="1:52" x14ac:dyDescent="0.35">
      <c r="A356" s="2" t="str">
        <f xml:space="preserve"> _xll.EPMOlapMemberO("[LOCID].[].[Munich plant]","","Munich plant","","000")</f>
        <v>Munich plant</v>
      </c>
      <c r="B356" s="2" t="str">
        <f xml:space="preserve"> _xll.EPMOlapMemberO("[PRDID].[].[999-68017-0909]","","999-68017-0909","","000")</f>
        <v>999-68017-0909</v>
      </c>
      <c r="C356" s="2" t="str">
        <f xml:space="preserve"> _xll.EPMOlapMemberO("[BRAND].[].[ PLAIN PACKAGING]",""," PLAIN PACKAGING","","000")</f>
        <v xml:space="preserve"> PLAIN PACKAGING</v>
      </c>
      <c r="D356" s="2" t="str">
        <f xml:space="preserve"> _xll.EPMOlapMemberO("[AM2MARKETDESCR].[].[FRANCE]","","FRANCE","","000")</f>
        <v>FRANCE</v>
      </c>
      <c r="E356" s="2" t="str">
        <f xml:space="preserve"> _xll.EPMOlapMemberO("[AM2PARENTCUSTGROUP].[].[__NULL]","","(None)","","000")</f>
        <v>(None)</v>
      </c>
      <c r="F356" s="2" t="str">
        <f xml:space="preserve"> _xll.EPMOlapMemberO("[KEY_FIGURES].[].[CONFIRMEDPRODUCTION]","","Production Order","","000")</f>
        <v>Production Order</v>
      </c>
      <c r="AR356" s="2">
        <v>630</v>
      </c>
      <c r="AU356" s="2">
        <v>650</v>
      </c>
      <c r="AY356" s="2">
        <v>625</v>
      </c>
    </row>
    <row r="357" spans="1:52" x14ac:dyDescent="0.35">
      <c r="A357" s="2" t="str">
        <f xml:space="preserve"> _xll.EPMOlapMemberO("[LOCID].[].[Munich plant]","","Munich plant","","000")</f>
        <v>Munich plant</v>
      </c>
      <c r="B357" s="2" t="str">
        <f xml:space="preserve"> _xll.EPMOlapMemberO("[PRDID].[].[999-68017-0910]","","999-68017-0910","","000")</f>
        <v>999-68017-0910</v>
      </c>
      <c r="C357" s="2" t="str">
        <f xml:space="preserve"> _xll.EPMOlapMemberO("[BRAND].[].[ PLAIN PACKAGING]",""," PLAIN PACKAGING","","000")</f>
        <v xml:space="preserve"> PLAIN PACKAGING</v>
      </c>
      <c r="D357" s="2" t="str">
        <f xml:space="preserve"> _xll.EPMOlapMemberO("[AM2MARKETDESCR].[].[FRANCE]","","FRANCE","","000")</f>
        <v>FRANCE</v>
      </c>
      <c r="E357" s="2" t="str">
        <f xml:space="preserve"> _xll.EPMOlapMemberO("[AM2PARENTCUSTGROUP].[].[__NULL]","","(None)","","000")</f>
        <v>(None)</v>
      </c>
      <c r="F357" s="2" t="str">
        <f xml:space="preserve"> _xll.EPMOlapMemberO("[KEY_FIGURES].[].[INITIALINVENTORY]","","Stock","","000")</f>
        <v>Stock</v>
      </c>
      <c r="AQ357" s="2">
        <v>420</v>
      </c>
    </row>
    <row r="358" spans="1:52" x14ac:dyDescent="0.35">
      <c r="A358" s="2" t="str">
        <f xml:space="preserve"> _xll.EPMOlapMemberO("[LOCID].[].[Munich plant]","","Munich plant","","000")</f>
        <v>Munich plant</v>
      </c>
      <c r="B358" s="2" t="str">
        <f xml:space="preserve"> _xll.EPMOlapMemberO("[PRDID].[].[999-68017-0910]","","999-68017-0910","","000")</f>
        <v>999-68017-0910</v>
      </c>
      <c r="C358" s="2" t="str">
        <f xml:space="preserve"> _xll.EPMOlapMemberO("[BRAND].[].[ PLAIN PACKAGING]",""," PLAIN PACKAGING","","000")</f>
        <v xml:space="preserve"> PLAIN PACKAGING</v>
      </c>
      <c r="D358" s="2" t="str">
        <f xml:space="preserve"> _xll.EPMOlapMemberO("[AM2MARKETDESCR].[].[FRANCE]","","FRANCE","","000")</f>
        <v>FRANCE</v>
      </c>
      <c r="E358" s="2" t="str">
        <f xml:space="preserve"> _xll.EPMOlapMemberO("[AM2PARENTCUSTGROUP].[].[__NULL]","","(None)","","000")</f>
        <v>(None)</v>
      </c>
      <c r="F358" s="2" t="str">
        <f xml:space="preserve"> _xll.EPMOlapMemberO("[KEY_FIGURES].[].[CONFIRMEDPRODUCTION]","","Production Order","","000")</f>
        <v>Production Order</v>
      </c>
      <c r="AU358" s="2">
        <v>360</v>
      </c>
      <c r="AY358" s="2">
        <v>345</v>
      </c>
    </row>
    <row r="359" spans="1:52" x14ac:dyDescent="0.35">
      <c r="A359" s="2" t="str">
        <f xml:space="preserve"> _xll.EPMOlapMemberO("[LOCID].[].[Munich plant]","","Munich plant","","000")</f>
        <v>Munich plant</v>
      </c>
      <c r="B359" s="2" t="str">
        <f xml:space="preserve"> _xll.EPMOlapMemberO("[PRDID].[].[999-68017-0911]","","999-68017-0911","","000")</f>
        <v>999-68017-0911</v>
      </c>
      <c r="C359" s="2" t="str">
        <f xml:space="preserve"> _xll.EPMOlapMemberO("[BRAND].[].[ PLAIN PACKAGING]",""," PLAIN PACKAGING","","000")</f>
        <v xml:space="preserve"> PLAIN PACKAGING</v>
      </c>
      <c r="D359" s="2" t="str">
        <f xml:space="preserve"> _xll.EPMOlapMemberO("[AM2MARKETDESCR].[].[FRANCE]","","FRANCE","","000")</f>
        <v>FRANCE</v>
      </c>
      <c r="E359" s="2" t="str">
        <f xml:space="preserve"> _xll.EPMOlapMemberO("[AM2PARENTCUSTGROUP].[].[__NULL]","","(None)","","000")</f>
        <v>(None)</v>
      </c>
      <c r="F359" s="2" t="str">
        <f xml:space="preserve"> _xll.EPMOlapMemberO("[KEY_FIGURES].[].[INITIALINVENTORY]","","Stock","","000")</f>
        <v>Stock</v>
      </c>
      <c r="AQ359" s="2">
        <v>315</v>
      </c>
    </row>
    <row r="360" spans="1:52" x14ac:dyDescent="0.35">
      <c r="A360" s="2" t="str">
        <f xml:space="preserve"> _xll.EPMOlapMemberO("[LOCID].[].[Munich plant]","","Munich plant","","000")</f>
        <v>Munich plant</v>
      </c>
      <c r="B360" s="2" t="str">
        <f xml:space="preserve"> _xll.EPMOlapMemberO("[PRDID].[].[999-68017-0911]","","999-68017-0911","","000")</f>
        <v>999-68017-0911</v>
      </c>
      <c r="C360" s="2" t="str">
        <f xml:space="preserve"> _xll.EPMOlapMemberO("[BRAND].[].[ PLAIN PACKAGING]",""," PLAIN PACKAGING","","000")</f>
        <v xml:space="preserve"> PLAIN PACKAGING</v>
      </c>
      <c r="D360" s="2" t="str">
        <f xml:space="preserve"> _xll.EPMOlapMemberO("[AM2MARKETDESCR].[].[FRANCE]","","FRANCE","","000")</f>
        <v>FRANCE</v>
      </c>
      <c r="E360" s="2" t="str">
        <f xml:space="preserve"> _xll.EPMOlapMemberO("[AM2PARENTCUSTGROUP].[].[__NULL]","","(None)","","000")</f>
        <v>(None)</v>
      </c>
      <c r="F360" s="2" t="str">
        <f xml:space="preserve"> _xll.EPMOlapMemberO("[KEY_FIGURES].[].[CONFIRMEDPRODUCTION]","","Production Order","","000")</f>
        <v>Production Order</v>
      </c>
      <c r="AR360" s="2">
        <v>716.66700000000003</v>
      </c>
      <c r="AU360" s="2">
        <v>240</v>
      </c>
      <c r="AX360" s="2">
        <v>235</v>
      </c>
    </row>
    <row r="361" spans="1:52" x14ac:dyDescent="0.35">
      <c r="A361" s="2" t="str">
        <f xml:space="preserve"> _xll.EPMOlapMemberO("[LOCID].[].[Munich plant]","","Munich plant","","000")</f>
        <v>Munich plant</v>
      </c>
      <c r="B361" s="2" t="str">
        <f xml:space="preserve"> _xll.EPMOlapMemberO("[PRDID].[].[999-68017-0912]","","999-68017-0912","","000")</f>
        <v>999-68017-0912</v>
      </c>
      <c r="C361" s="2" t="str">
        <f xml:space="preserve"> _xll.EPMOlapMemberO("[BRAND].[].[ PLAIN PACKAGING]",""," PLAIN PACKAGING","","000")</f>
        <v xml:space="preserve"> PLAIN PACKAGING</v>
      </c>
      <c r="D361" s="2" t="str">
        <f xml:space="preserve"> _xll.EPMOlapMemberO("[AM2MARKETDESCR].[].[FRANCE]","","FRANCE","","000")</f>
        <v>FRANCE</v>
      </c>
      <c r="E361" s="2" t="str">
        <f xml:space="preserve"> _xll.EPMOlapMemberO("[AM2PARENTCUSTGROUP].[].[__NULL]","","(None)","","000")</f>
        <v>(None)</v>
      </c>
      <c r="F361" s="2" t="str">
        <f xml:space="preserve"> _xll.EPMOlapMemberO("[KEY_FIGURES].[].[CONFIRMEDPRODUCTION]","","Production Order","","000")</f>
        <v>Production Order</v>
      </c>
      <c r="AT361" s="2">
        <v>75</v>
      </c>
      <c r="AW361" s="2">
        <v>25</v>
      </c>
    </row>
    <row r="362" spans="1:52" x14ac:dyDescent="0.35">
      <c r="A362" s="2" t="str">
        <f xml:space="preserve"> _xll.EPMOlapMemberO("[LOCID].[].[Munich plant]","","Munich plant","","000")</f>
        <v>Munich plant</v>
      </c>
      <c r="B362" s="2" t="str">
        <f xml:space="preserve"> _xll.EPMOlapMemberO("[PRDID].[].[999-68017-0913]","","999-68017-0913","","000")</f>
        <v>999-68017-0913</v>
      </c>
      <c r="C362" s="2" t="str">
        <f xml:space="preserve"> _xll.EPMOlapMemberO("[BRAND].[].[ PLAIN PACKAGING]",""," PLAIN PACKAGING","","000")</f>
        <v xml:space="preserve"> PLAIN PACKAGING</v>
      </c>
      <c r="D362" s="2" t="str">
        <f xml:space="preserve"> _xll.EPMOlapMemberO("[AM2MARKETDESCR].[].[FRANCE]","","FRANCE","","000")</f>
        <v>FRANCE</v>
      </c>
      <c r="E362" s="2" t="str">
        <f xml:space="preserve"> _xll.EPMOlapMemberO("[AM2PARENTCUSTGROUP].[].[__NULL]","","(None)","","000")</f>
        <v>(None)</v>
      </c>
      <c r="F362" s="2" t="str">
        <f xml:space="preserve"> _xll.EPMOlapMemberO("[KEY_FIGURES].[].[INITIALINVENTORY]","","Stock","","000")</f>
        <v>Stock</v>
      </c>
      <c r="AQ362" s="2">
        <v>2620.8000000000002</v>
      </c>
    </row>
    <row r="363" spans="1:52" x14ac:dyDescent="0.35">
      <c r="A363" s="2" t="str">
        <f xml:space="preserve"> _xll.EPMOlapMemberO("[LOCID].[].[Munich plant]","","Munich plant","","000")</f>
        <v>Munich plant</v>
      </c>
      <c r="B363" s="2" t="str">
        <f xml:space="preserve"> _xll.EPMOlapMemberO("[PRDID].[].[999-68017-0913]","","999-68017-0913","","000")</f>
        <v>999-68017-0913</v>
      </c>
      <c r="C363" s="2" t="str">
        <f xml:space="preserve"> _xll.EPMOlapMemberO("[BRAND].[].[ PLAIN PACKAGING]",""," PLAIN PACKAGING","","000")</f>
        <v xml:space="preserve"> PLAIN PACKAGING</v>
      </c>
      <c r="D363" s="2" t="str">
        <f xml:space="preserve"> _xll.EPMOlapMemberO("[AM2MARKETDESCR].[].[FRANCE]","","FRANCE","","000")</f>
        <v>FRANCE</v>
      </c>
      <c r="E363" s="2" t="str">
        <f xml:space="preserve"> _xll.EPMOlapMemberO("[AM2PARENTCUSTGROUP].[].[__NULL]","","(None)","","000")</f>
        <v>(None)</v>
      </c>
      <c r="F363" s="2" t="str">
        <f xml:space="preserve"> _xll.EPMOlapMemberO("[KEY_FIGURES].[].[CONFIRMEDPRODUCTION]","","Production Order","","000")</f>
        <v>Production Order</v>
      </c>
      <c r="AS363" s="2">
        <v>2015.5</v>
      </c>
      <c r="AU363" s="2">
        <v>1508</v>
      </c>
      <c r="AW363" s="2">
        <v>1653</v>
      </c>
      <c r="AY363" s="2">
        <v>1986.5</v>
      </c>
    </row>
    <row r="364" spans="1:52" x14ac:dyDescent="0.35">
      <c r="A364" s="2" t="str">
        <f xml:space="preserve"> _xll.EPMOlapMemberO("[LOCID].[].[Munich plant]","","Munich plant","","000")</f>
        <v>Munich plant</v>
      </c>
      <c r="B364" s="2" t="str">
        <f xml:space="preserve"> _xll.EPMOlapMemberO("[PRDID].[].[999-68017-0914]","","999-68017-0914","","000")</f>
        <v>999-68017-0914</v>
      </c>
      <c r="C364" s="2" t="str">
        <f xml:space="preserve"> _xll.EPMOlapMemberO("[BRAND].[].[ PLAIN PACKAGING]",""," PLAIN PACKAGING","","000")</f>
        <v xml:space="preserve"> PLAIN PACKAGING</v>
      </c>
      <c r="D364" s="2" t="str">
        <f xml:space="preserve"> _xll.EPMOlapMemberO("[AM2MARKETDESCR].[].[FRANCE]","","FRANCE","","000")</f>
        <v>FRANCE</v>
      </c>
      <c r="E364" s="2" t="str">
        <f xml:space="preserve"> _xll.EPMOlapMemberO("[AM2PARENTCUSTGROUP].[].[__NULL]","","(None)","","000")</f>
        <v>(None)</v>
      </c>
      <c r="F364" s="2" t="str">
        <f xml:space="preserve"> _xll.EPMOlapMemberO("[KEY_FIGURES].[].[INITIALINVENTORY]","","Stock","","000")</f>
        <v>Stock</v>
      </c>
      <c r="AQ364" s="2">
        <v>806.4</v>
      </c>
    </row>
    <row r="365" spans="1:52" x14ac:dyDescent="0.35">
      <c r="A365" s="2" t="str">
        <f xml:space="preserve"> _xll.EPMOlapMemberO("[LOCID].[].[Munich plant]","","Munich plant","","000")</f>
        <v>Munich plant</v>
      </c>
      <c r="B365" s="2" t="str">
        <f xml:space="preserve"> _xll.EPMOlapMemberO("[PRDID].[].[999-68017-0914]","","999-68017-0914","","000")</f>
        <v>999-68017-0914</v>
      </c>
      <c r="C365" s="2" t="str">
        <f xml:space="preserve"> _xll.EPMOlapMemberO("[BRAND].[].[ PLAIN PACKAGING]",""," PLAIN PACKAGING","","000")</f>
        <v xml:space="preserve"> PLAIN PACKAGING</v>
      </c>
      <c r="D365" s="2" t="str">
        <f xml:space="preserve"> _xll.EPMOlapMemberO("[AM2MARKETDESCR].[].[FRANCE]","","FRANCE","","000")</f>
        <v>FRANCE</v>
      </c>
      <c r="E365" s="2" t="str">
        <f xml:space="preserve"> _xll.EPMOlapMemberO("[AM2PARENTCUSTGROUP].[].[__NULL]","","(None)","","000")</f>
        <v>(None)</v>
      </c>
      <c r="F365" s="2" t="str">
        <f xml:space="preserve"> _xll.EPMOlapMemberO("[KEY_FIGURES].[].[CONFIRMEDPRODUCTION]","","Production Order","","000")</f>
        <v>Production Order</v>
      </c>
      <c r="AT365" s="2">
        <v>928</v>
      </c>
      <c r="AW365" s="2">
        <v>696</v>
      </c>
      <c r="AZ365" s="2">
        <v>841</v>
      </c>
    </row>
    <row r="366" spans="1:52" x14ac:dyDescent="0.35">
      <c r="A366" s="2" t="str">
        <f xml:space="preserve"> _xll.EPMOlapMemberO("[LOCID].[].[Munich plant]","","Munich plant","","000")</f>
        <v>Munich plant</v>
      </c>
      <c r="B366" s="2" t="str">
        <f xml:space="preserve"> _xll.EPMOlapMemberO("[PRDID].[].[999-68017-0915]","","999-68017-0915","","000")</f>
        <v>999-68017-0915</v>
      </c>
      <c r="C366" s="2" t="str">
        <f xml:space="preserve"> _xll.EPMOlapMemberO("[BRAND].[].[ PLAIN PACKAGING]",""," PLAIN PACKAGING","","000")</f>
        <v xml:space="preserve"> PLAIN PACKAGING</v>
      </c>
      <c r="D366" s="2" t="str">
        <f xml:space="preserve"> _xll.EPMOlapMemberO("[AM2MARKETDESCR].[].[FRANCE]","","FRANCE","","000")</f>
        <v>FRANCE</v>
      </c>
      <c r="E366" s="2" t="str">
        <f xml:space="preserve"> _xll.EPMOlapMemberO("[AM2PARENTCUSTGROUP].[].[__NULL]","","(None)","","000")</f>
        <v>(None)</v>
      </c>
      <c r="F366" s="2" t="str">
        <f xml:space="preserve"> _xll.EPMOlapMemberO("[KEY_FIGURES].[].[INITIALINVENTORY]","","Stock","","000")</f>
        <v>Stock</v>
      </c>
      <c r="AQ366" s="2">
        <v>4536</v>
      </c>
    </row>
    <row r="367" spans="1:52" x14ac:dyDescent="0.35">
      <c r="A367" s="2" t="str">
        <f xml:space="preserve"> _xll.EPMOlapMemberO("[LOCID].[].[Munich plant]","","Munich plant","","000")</f>
        <v>Munich plant</v>
      </c>
      <c r="B367" s="2" t="str">
        <f xml:space="preserve"> _xll.EPMOlapMemberO("[PRDID].[].[999-68017-0915]","","999-68017-0915","","000")</f>
        <v>999-68017-0915</v>
      </c>
      <c r="C367" s="2" t="str">
        <f xml:space="preserve"> _xll.EPMOlapMemberO("[BRAND].[].[ PLAIN PACKAGING]",""," PLAIN PACKAGING","","000")</f>
        <v xml:space="preserve"> PLAIN PACKAGING</v>
      </c>
      <c r="D367" s="2" t="str">
        <f xml:space="preserve"> _xll.EPMOlapMemberO("[AM2MARKETDESCR].[].[FRANCE]","","FRANCE","","000")</f>
        <v>FRANCE</v>
      </c>
      <c r="E367" s="2" t="str">
        <f xml:space="preserve"> _xll.EPMOlapMemberO("[AM2PARENTCUSTGROUP].[].[__NULL]","","(None)","","000")</f>
        <v>(None)</v>
      </c>
      <c r="F367" s="2" t="str">
        <f xml:space="preserve"> _xll.EPMOlapMemberO("[KEY_FIGURES].[].[CONFIRMEDPRODUCTION]","","Production Order","","000")</f>
        <v>Production Order</v>
      </c>
      <c r="AU367" s="2">
        <v>6000</v>
      </c>
      <c r="AW367" s="2">
        <v>3831</v>
      </c>
      <c r="AZ367" s="2">
        <v>5945</v>
      </c>
    </row>
    <row r="368" spans="1:52" x14ac:dyDescent="0.35">
      <c r="A368" s="2" t="str">
        <f xml:space="preserve"> _xll.EPMOlapMemberO("[LOCID].[].[Munich plant]","","Munich plant","","000")</f>
        <v>Munich plant</v>
      </c>
      <c r="B368" s="2" t="str">
        <f xml:space="preserve"> _xll.EPMOlapMemberO("[PRDID].[].[999-68017-0916]","","999-68017-0916","","000")</f>
        <v>999-68017-0916</v>
      </c>
      <c r="C368" s="2" t="str">
        <f xml:space="preserve"> _xll.EPMOlapMemberO("[BRAND].[].[ PLAIN PACKAGING]",""," PLAIN PACKAGING","","000")</f>
        <v xml:space="preserve"> PLAIN PACKAGING</v>
      </c>
      <c r="D368" s="2" t="str">
        <f xml:space="preserve"> _xll.EPMOlapMemberO("[AM2MARKETDESCR].[].[FRANCE]","","FRANCE","","000")</f>
        <v>FRANCE</v>
      </c>
      <c r="E368" s="2" t="str">
        <f xml:space="preserve"> _xll.EPMOlapMemberO("[AM2PARENTCUSTGROUP].[].[__NULL]","","(None)","","000")</f>
        <v>(None)</v>
      </c>
      <c r="F368" s="2" t="str">
        <f xml:space="preserve"> _xll.EPMOlapMemberO("[KEY_FIGURES].[].[INITIALINVENTORY]","","Stock","","000")</f>
        <v>Stock</v>
      </c>
      <c r="AQ368" s="2">
        <v>705.6</v>
      </c>
    </row>
    <row r="369" spans="1:52" x14ac:dyDescent="0.35">
      <c r="A369" s="2" t="str">
        <f xml:space="preserve"> _xll.EPMOlapMemberO("[LOCID].[].[Munich plant]","","Munich plant","","000")</f>
        <v>Munich plant</v>
      </c>
      <c r="B369" s="2" t="str">
        <f xml:space="preserve"> _xll.EPMOlapMemberO("[PRDID].[].[999-68017-0916]","","999-68017-0916","","000")</f>
        <v>999-68017-0916</v>
      </c>
      <c r="C369" s="2" t="str">
        <f xml:space="preserve"> _xll.EPMOlapMemberO("[BRAND].[].[ PLAIN PACKAGING]",""," PLAIN PACKAGING","","000")</f>
        <v xml:space="preserve"> PLAIN PACKAGING</v>
      </c>
      <c r="D369" s="2" t="str">
        <f xml:space="preserve"> _xll.EPMOlapMemberO("[AM2MARKETDESCR].[].[FRANCE]","","FRANCE","","000")</f>
        <v>FRANCE</v>
      </c>
      <c r="E369" s="2" t="str">
        <f xml:space="preserve"> _xll.EPMOlapMemberO("[AM2PARENTCUSTGROUP].[].[__NULL]","","(None)","","000")</f>
        <v>(None)</v>
      </c>
      <c r="F369" s="2" t="str">
        <f xml:space="preserve"> _xll.EPMOlapMemberO("[KEY_FIGURES].[].[CONFIRMEDPRODUCTION]","","Production Order","","000")</f>
        <v>Production Order</v>
      </c>
      <c r="AR369" s="2">
        <v>705.6</v>
      </c>
      <c r="AT369" s="2">
        <v>1087.5</v>
      </c>
      <c r="AW369" s="2">
        <v>812</v>
      </c>
      <c r="AZ369" s="2">
        <v>986</v>
      </c>
    </row>
    <row r="370" spans="1:52" x14ac:dyDescent="0.35">
      <c r="A370" s="2" t="str">
        <f xml:space="preserve"> _xll.EPMOlapMemberO("[LOCID].[].[Munich plant]","","Munich plant","","000")</f>
        <v>Munich plant</v>
      </c>
      <c r="B370" s="2" t="str">
        <f xml:space="preserve"> _xll.EPMOlapMemberO("[PRDID].[].[999-68017-0917]","","999-68017-0917","","000")</f>
        <v>999-68017-0917</v>
      </c>
      <c r="C370" s="2" t="str">
        <f xml:space="preserve"> _xll.EPMOlapMemberO("[BRAND].[].[ PLAIN PACKAGING]",""," PLAIN PACKAGING","","000")</f>
        <v xml:space="preserve"> PLAIN PACKAGING</v>
      </c>
      <c r="D370" s="2" t="str">
        <f xml:space="preserve"> _xll.EPMOlapMemberO("[AM2MARKETDESCR].[].[FRANCE]","","FRANCE","","000")</f>
        <v>FRANCE</v>
      </c>
      <c r="E370" s="2" t="str">
        <f xml:space="preserve"> _xll.EPMOlapMemberO("[AM2PARENTCUSTGROUP].[].[__NULL]","","(None)","","000")</f>
        <v>(None)</v>
      </c>
      <c r="F370" s="2" t="str">
        <f xml:space="preserve"> _xll.EPMOlapMemberO("[KEY_FIGURES].[].[INITIALINVENTORY]","","Stock","","000")</f>
        <v>Stock</v>
      </c>
      <c r="AQ370" s="2">
        <v>705.6</v>
      </c>
    </row>
    <row r="371" spans="1:52" x14ac:dyDescent="0.35">
      <c r="A371" s="2" t="str">
        <f xml:space="preserve"> _xll.EPMOlapMemberO("[LOCID].[].[Munich plant]","","Munich plant","","000")</f>
        <v>Munich plant</v>
      </c>
      <c r="B371" s="2" t="str">
        <f xml:space="preserve"> _xll.EPMOlapMemberO("[PRDID].[].[999-68017-0917]","","999-68017-0917","","000")</f>
        <v>999-68017-0917</v>
      </c>
      <c r="C371" s="2" t="str">
        <f xml:space="preserve"> _xll.EPMOlapMemberO("[BRAND].[].[ PLAIN PACKAGING]",""," PLAIN PACKAGING","","000")</f>
        <v xml:space="preserve"> PLAIN PACKAGING</v>
      </c>
      <c r="D371" s="2" t="str">
        <f xml:space="preserve"> _xll.EPMOlapMemberO("[AM2MARKETDESCR].[].[FRANCE]","","FRANCE","","000")</f>
        <v>FRANCE</v>
      </c>
      <c r="E371" s="2" t="str">
        <f xml:space="preserve"> _xll.EPMOlapMemberO("[AM2PARENTCUSTGROUP].[].[__NULL]","","(None)","","000")</f>
        <v>(None)</v>
      </c>
      <c r="F371" s="2" t="str">
        <f xml:space="preserve"> _xll.EPMOlapMemberO("[KEY_FIGURES].[].[CONFIRMEDPRODUCTION]","","Production Order","","000")</f>
        <v>Production Order</v>
      </c>
      <c r="AU371" s="2">
        <v>638</v>
      </c>
      <c r="AY371" s="2">
        <v>609</v>
      </c>
    </row>
    <row r="372" spans="1:52" x14ac:dyDescent="0.35">
      <c r="A372" s="2" t="str">
        <f xml:space="preserve"> _xll.EPMOlapMemberO("[LOCID].[].[Munich plant]","","Munich plant","","000")</f>
        <v>Munich plant</v>
      </c>
      <c r="B372" s="2" t="str">
        <f xml:space="preserve"> _xll.EPMOlapMemberO("[PRDID].[].[999-68017-0921]","","999-68017-0921","","000")</f>
        <v>999-68017-0921</v>
      </c>
      <c r="C372" s="2" t="str">
        <f xml:space="preserve"> _xll.EPMOlapMemberO("[BRAND].[].[ PLAIN PACKAGING]",""," PLAIN PACKAGING","","000")</f>
        <v xml:space="preserve"> PLAIN PACKAGING</v>
      </c>
      <c r="D372" s="2" t="str">
        <f xml:space="preserve"> _xll.EPMOlapMemberO("[AM2MARKETDESCR].[].[FRANCE]","","FRANCE","","000")</f>
        <v>FRANCE</v>
      </c>
      <c r="E372" s="2" t="str">
        <f xml:space="preserve"> _xll.EPMOlapMemberO("[AM2PARENTCUSTGROUP].[].[__NULL]","","(None)","","000")</f>
        <v>(None)</v>
      </c>
      <c r="F372" s="2" t="str">
        <f xml:space="preserve"> _xll.EPMOlapMemberO("[KEY_FIGURES].[].[INITIALINVENTORY]","","Stock","","000")</f>
        <v>Stock</v>
      </c>
      <c r="AQ372" s="2">
        <v>2419.1999999999998</v>
      </c>
    </row>
    <row r="373" spans="1:52" x14ac:dyDescent="0.35">
      <c r="A373" s="2" t="str">
        <f xml:space="preserve"> _xll.EPMOlapMemberO("[LOCID].[].[Munich plant]","","Munich plant","","000")</f>
        <v>Munich plant</v>
      </c>
      <c r="B373" s="2" t="str">
        <f xml:space="preserve"> _xll.EPMOlapMemberO("[PRDID].[].[999-68017-0921]","","999-68017-0921","","000")</f>
        <v>999-68017-0921</v>
      </c>
      <c r="C373" s="2" t="str">
        <f xml:space="preserve"> _xll.EPMOlapMemberO("[BRAND].[].[ PLAIN PACKAGING]",""," PLAIN PACKAGING","","000")</f>
        <v xml:space="preserve"> PLAIN PACKAGING</v>
      </c>
      <c r="D373" s="2" t="str">
        <f xml:space="preserve"> _xll.EPMOlapMemberO("[AM2MARKETDESCR].[].[FRANCE]","","FRANCE","","000")</f>
        <v>FRANCE</v>
      </c>
      <c r="E373" s="2" t="str">
        <f xml:space="preserve"> _xll.EPMOlapMemberO("[AM2PARENTCUSTGROUP].[].[__NULL]","","(None)","","000")</f>
        <v>(None)</v>
      </c>
      <c r="F373" s="2" t="str">
        <f xml:space="preserve"> _xll.EPMOlapMemberO("[KEY_FIGURES].[].[CONFIRMEDPRODUCTION]","","Production Order","","000")</f>
        <v>Production Order</v>
      </c>
      <c r="AT373" s="2">
        <v>1986.5</v>
      </c>
      <c r="AW373" s="2">
        <v>1508</v>
      </c>
      <c r="AZ373" s="2">
        <v>1798</v>
      </c>
    </row>
    <row r="374" spans="1:52" x14ac:dyDescent="0.35">
      <c r="A374" s="2" t="str">
        <f xml:space="preserve"> _xll.EPMOlapMemberO("[LOCID].[].[Munich plant]","","Munich plant","","000")</f>
        <v>Munich plant</v>
      </c>
      <c r="B374" s="2" t="str">
        <f xml:space="preserve"> _xll.EPMOlapMemberO("[PRDID].[].[999-68017-0922]","","999-68017-0922","","000")</f>
        <v>999-68017-0922</v>
      </c>
      <c r="C374" s="2" t="str">
        <f xml:space="preserve"> _xll.EPMOlapMemberO("[BRAND].[].[ PLAIN PACKAGING]",""," PLAIN PACKAGING","","000")</f>
        <v xml:space="preserve"> PLAIN PACKAGING</v>
      </c>
      <c r="D374" s="2" t="str">
        <f xml:space="preserve"> _xll.EPMOlapMemberO("[AM2MARKETDESCR].[].[FRANCE]","","FRANCE","","000")</f>
        <v>FRANCE</v>
      </c>
      <c r="E374" s="2" t="str">
        <f xml:space="preserve"> _xll.EPMOlapMemberO("[AM2PARENTCUSTGROUP].[].[__NULL]","","(None)","","000")</f>
        <v>(None)</v>
      </c>
      <c r="F374" s="2" t="str">
        <f xml:space="preserve"> _xll.EPMOlapMemberO("[KEY_FIGURES].[].[INITIALINVENTORY]","","Stock","","000")</f>
        <v>Stock</v>
      </c>
      <c r="AQ374" s="2">
        <v>2116.8000000000002</v>
      </c>
    </row>
    <row r="375" spans="1:52" x14ac:dyDescent="0.35">
      <c r="A375" s="2" t="str">
        <f xml:space="preserve"> _xll.EPMOlapMemberO("[LOCID].[].[Munich plant]","","Munich plant","","000")</f>
        <v>Munich plant</v>
      </c>
      <c r="B375" s="2" t="str">
        <f xml:space="preserve"> _xll.EPMOlapMemberO("[PRDID].[].[999-68017-0922]","","999-68017-0922","","000")</f>
        <v>999-68017-0922</v>
      </c>
      <c r="C375" s="2" t="str">
        <f xml:space="preserve"> _xll.EPMOlapMemberO("[BRAND].[].[ PLAIN PACKAGING]",""," PLAIN PACKAGING","","000")</f>
        <v xml:space="preserve"> PLAIN PACKAGING</v>
      </c>
      <c r="D375" s="2" t="str">
        <f xml:space="preserve"> _xll.EPMOlapMemberO("[AM2MARKETDESCR].[].[FRANCE]","","FRANCE","","000")</f>
        <v>FRANCE</v>
      </c>
      <c r="E375" s="2" t="str">
        <f xml:space="preserve"> _xll.EPMOlapMemberO("[AM2PARENTCUSTGROUP].[].[__NULL]","","(None)","","000")</f>
        <v>(None)</v>
      </c>
      <c r="F375" s="2" t="str">
        <f xml:space="preserve"> _xll.EPMOlapMemberO("[KEY_FIGURES].[].[CONFIRMEDPRODUCTION]","","Production Order","","000")</f>
        <v>Production Order</v>
      </c>
      <c r="AT375" s="2">
        <v>2276.5</v>
      </c>
      <c r="AW375" s="2">
        <v>1725.5</v>
      </c>
      <c r="AZ375" s="2">
        <v>2073.5</v>
      </c>
    </row>
    <row r="376" spans="1:52" x14ac:dyDescent="0.35">
      <c r="A376" s="2" t="str">
        <f xml:space="preserve"> _xll.EPMOlapMemberO("[LOCID].[].[Munich plant]","","Munich plant","","000")</f>
        <v>Munich plant</v>
      </c>
      <c r="B376" s="2" t="str">
        <f xml:space="preserve"> _xll.EPMOlapMemberO("[PRDID].[].[999-68017-0923]","","999-68017-0923","","000")</f>
        <v>999-68017-0923</v>
      </c>
      <c r="C376" s="2" t="str">
        <f xml:space="preserve"> _xll.EPMOlapMemberO("[BRAND].[].[ PLAIN PACKAGING]",""," PLAIN PACKAGING","","000")</f>
        <v xml:space="preserve"> PLAIN PACKAGING</v>
      </c>
      <c r="D376" s="2" t="str">
        <f xml:space="preserve"> _xll.EPMOlapMemberO("[AM2MARKETDESCR].[].[FRANCE]","","FRANCE","","000")</f>
        <v>FRANCE</v>
      </c>
      <c r="E376" s="2" t="str">
        <f xml:space="preserve"> _xll.EPMOlapMemberO("[AM2PARENTCUSTGROUP].[].[__NULL]","","(None)","","000")</f>
        <v>(None)</v>
      </c>
      <c r="F376" s="2" t="str">
        <f xml:space="preserve"> _xll.EPMOlapMemberO("[KEY_FIGURES].[].[CONFIRMEDPRODUCTION]","","Production Order","","000")</f>
        <v>Production Order</v>
      </c>
      <c r="AR376" s="2">
        <v>180</v>
      </c>
      <c r="AW376" s="2">
        <v>25</v>
      </c>
    </row>
    <row r="377" spans="1:52" x14ac:dyDescent="0.35">
      <c r="A377" s="2" t="str">
        <f xml:space="preserve"> _xll.EPMOlapMemberO("[LOCID].[].[Munich plant]","","Munich plant","","000")</f>
        <v>Munich plant</v>
      </c>
      <c r="B377" s="2" t="str">
        <f xml:space="preserve"> _xll.EPMOlapMemberO("[PRDID].[].[999-68017-0930]","","999-68017-0930","","000")</f>
        <v>999-68017-0930</v>
      </c>
      <c r="C377" s="2" t="str">
        <f xml:space="preserve"> _xll.EPMOlapMemberO("[BRAND].[].[ PLAIN PACKAGING]",""," PLAIN PACKAGING","","000")</f>
        <v xml:space="preserve"> PLAIN PACKAGING</v>
      </c>
      <c r="D377" s="2" t="str">
        <f xml:space="preserve"> _xll.EPMOlapMemberO("[AM2MARKETDESCR].[].[FRANCE]","","FRANCE","","000")</f>
        <v>FRANCE</v>
      </c>
      <c r="E377" s="2" t="str">
        <f xml:space="preserve"> _xll.EPMOlapMemberO("[AM2PARENTCUSTGROUP].[].[__NULL]","","(None)","","000")</f>
        <v>(None)</v>
      </c>
      <c r="F377" s="2" t="str">
        <f xml:space="preserve"> _xll.EPMOlapMemberO("[KEY_FIGURES].[].[CONFIRMEDPRODUCTION]","","Production Order","","000")</f>
        <v>Production Order</v>
      </c>
      <c r="AR377" s="2">
        <v>105</v>
      </c>
      <c r="AT377" s="2">
        <v>45</v>
      </c>
      <c r="AW377" s="2">
        <v>45</v>
      </c>
      <c r="AZ377" s="2">
        <v>50</v>
      </c>
    </row>
    <row r="378" spans="1:52" x14ac:dyDescent="0.35">
      <c r="A378" s="2" t="str">
        <f xml:space="preserve"> _xll.EPMOlapMemberO("[LOCID].[].[Munich plant]","","Munich plant","","000")</f>
        <v>Munich plant</v>
      </c>
      <c r="B378" s="2" t="str">
        <f xml:space="preserve"> _xll.EPMOlapMemberO("[PRDID].[].[999-68017-0931]","","999-68017-0931","","000")</f>
        <v>999-68017-0931</v>
      </c>
      <c r="C378" s="2" t="str">
        <f xml:space="preserve"> _xll.EPMOlapMemberO("[BRAND].[].[ PLAIN PACKAGING]",""," PLAIN PACKAGING","","000")</f>
        <v xml:space="preserve"> PLAIN PACKAGING</v>
      </c>
      <c r="D378" s="2" t="str">
        <f xml:space="preserve"> _xll.EPMOlapMemberO("[AM2MARKETDESCR].[].[FRANCE]","","FRANCE","","000")</f>
        <v>FRANCE</v>
      </c>
      <c r="E378" s="2" t="str">
        <f xml:space="preserve"> _xll.EPMOlapMemberO("[AM2PARENTCUSTGROUP].[].[__NULL]","","(None)","","000")</f>
        <v>(None)</v>
      </c>
      <c r="F378" s="2" t="str">
        <f xml:space="preserve"> _xll.EPMOlapMemberO("[KEY_FIGURES].[].[CONFIRMEDPRODUCTION]","","Production Order","","000")</f>
        <v>Production Order</v>
      </c>
      <c r="AS378" s="2">
        <v>135</v>
      </c>
      <c r="AV378" s="2">
        <v>40</v>
      </c>
      <c r="AY378" s="2">
        <v>50</v>
      </c>
    </row>
    <row r="379" spans="1:52" x14ac:dyDescent="0.35">
      <c r="A379" s="2" t="str">
        <f xml:space="preserve"> _xll.EPMOlapMemberO("[LOCID].[].[Munich plant]","","Munich plant","","000")</f>
        <v>Munich plant</v>
      </c>
      <c r="B379" s="2" t="str">
        <f xml:space="preserve"> _xll.EPMOlapMemberO("[PRDID].[].[999-68017-0932]","","999-68017-0932","","000")</f>
        <v>999-68017-0932</v>
      </c>
      <c r="C379" s="2" t="str">
        <f xml:space="preserve"> _xll.EPMOlapMemberO("[BRAND].[].[ PLAIN PACKAGING]",""," PLAIN PACKAGING","","000")</f>
        <v xml:space="preserve"> PLAIN PACKAGING</v>
      </c>
      <c r="D379" s="2" t="str">
        <f xml:space="preserve"> _xll.EPMOlapMemberO("[AM2MARKETDESCR].[].[FRANCE]","","FRANCE","","000")</f>
        <v>FRANCE</v>
      </c>
      <c r="E379" s="2" t="str">
        <f xml:space="preserve"> _xll.EPMOlapMemberO("[AM2PARENTCUSTGROUP].[].[__NULL]","","(None)","","000")</f>
        <v>(None)</v>
      </c>
      <c r="F379" s="2" t="str">
        <f xml:space="preserve"> _xll.EPMOlapMemberO("[KEY_FIGURES].[].[CONFIRMEDPRODUCTION]","","Production Order","","000")</f>
        <v>Production Order</v>
      </c>
      <c r="AS379" s="2">
        <v>75</v>
      </c>
      <c r="AW379" s="2">
        <v>25</v>
      </c>
    </row>
    <row r="380" spans="1:52" x14ac:dyDescent="0.35">
      <c r="A380" s="2" t="str">
        <f xml:space="preserve"> _xll.EPMOlapMemberO("[LOCID].[].[Munich plant]","","Munich plant","","000")</f>
        <v>Munich plant</v>
      </c>
      <c r="B380" s="2" t="str">
        <f xml:space="preserve"> _xll.EPMOlapMemberO("[PRDID].[].[999-68017-0933]","","999-68017-0933","","000")</f>
        <v>999-68017-0933</v>
      </c>
      <c r="C380" s="2" t="str">
        <f xml:space="preserve"> _xll.EPMOlapMemberO("[BRAND].[].[ PLAIN PACKAGING]",""," PLAIN PACKAGING","","000")</f>
        <v xml:space="preserve"> PLAIN PACKAGING</v>
      </c>
      <c r="D380" s="2" t="str">
        <f xml:space="preserve"> _xll.EPMOlapMemberO("[AM2MARKETDESCR].[].[FRANCE]","","FRANCE","","000")</f>
        <v>FRANCE</v>
      </c>
      <c r="E380" s="2" t="str">
        <f xml:space="preserve"> _xll.EPMOlapMemberO("[AM2PARENTCUSTGROUP].[].[__NULL]","","(None)","","000")</f>
        <v>(None)</v>
      </c>
      <c r="F380" s="2" t="str">
        <f xml:space="preserve"> _xll.EPMOlapMemberO("[KEY_FIGURES].[].[INITIALINVENTORY]","","Stock","","000")</f>
        <v>Stock</v>
      </c>
      <c r="AQ380" s="2">
        <v>210</v>
      </c>
    </row>
    <row r="381" spans="1:52" x14ac:dyDescent="0.35">
      <c r="A381" s="2" t="str">
        <f xml:space="preserve"> _xll.EPMOlapMemberO("[LOCID].[].[Munich plant]","","Munich plant","","000")</f>
        <v>Munich plant</v>
      </c>
      <c r="B381" s="2" t="str">
        <f xml:space="preserve"> _xll.EPMOlapMemberO("[PRDID].[].[999-68017-0933]","","999-68017-0933","","000")</f>
        <v>999-68017-0933</v>
      </c>
      <c r="C381" s="2" t="str">
        <f xml:space="preserve"> _xll.EPMOlapMemberO("[BRAND].[].[ PLAIN PACKAGING]",""," PLAIN PACKAGING","","000")</f>
        <v xml:space="preserve"> PLAIN PACKAGING</v>
      </c>
      <c r="D381" s="2" t="str">
        <f xml:space="preserve"> _xll.EPMOlapMemberO("[AM2MARKETDESCR].[].[FRANCE]","","FRANCE","","000")</f>
        <v>FRANCE</v>
      </c>
      <c r="E381" s="2" t="str">
        <f xml:space="preserve"> _xll.EPMOlapMemberO("[AM2PARENTCUSTGROUP].[].[__NULL]","","(None)","","000")</f>
        <v>(None)</v>
      </c>
      <c r="F381" s="2" t="str">
        <f xml:space="preserve"> _xll.EPMOlapMemberO("[KEY_FIGURES].[].[CONFIRMEDPRODUCTION]","","Production Order","","000")</f>
        <v>Production Order</v>
      </c>
      <c r="AU381" s="2">
        <v>190</v>
      </c>
      <c r="AY381" s="2">
        <v>180</v>
      </c>
    </row>
    <row r="382" spans="1:52" x14ac:dyDescent="0.35">
      <c r="A382" s="2" t="str">
        <f xml:space="preserve"> _xll.EPMOlapMemberO("[LOCID].[].[Munich plant]","","Munich plant","","000")</f>
        <v>Munich plant</v>
      </c>
      <c r="B382" s="2" t="str">
        <f xml:space="preserve"> _xll.EPMOlapMemberO("[PRDID].[].[999-68017-0934]","","999-68017-0934","","000")</f>
        <v>999-68017-0934</v>
      </c>
      <c r="C382" s="2" t="str">
        <f xml:space="preserve"> _xll.EPMOlapMemberO("[BRAND].[].[ PLAIN PACKAGING]",""," PLAIN PACKAGING","","000")</f>
        <v xml:space="preserve"> PLAIN PACKAGING</v>
      </c>
      <c r="D382" s="2" t="str">
        <f xml:space="preserve"> _xll.EPMOlapMemberO("[AM2MARKETDESCR].[].[FRANCE]","","FRANCE","","000")</f>
        <v>FRANCE</v>
      </c>
      <c r="E382" s="2" t="str">
        <f xml:space="preserve"> _xll.EPMOlapMemberO("[AM2PARENTCUSTGROUP].[].[__NULL]","","(None)","","000")</f>
        <v>(None)</v>
      </c>
      <c r="F382" s="2" t="str">
        <f xml:space="preserve"> _xll.EPMOlapMemberO("[KEY_FIGURES].[].[CONFIRMEDPRODUCTION]","","Production Order","","000")</f>
        <v>Production Order</v>
      </c>
      <c r="AR382" s="2">
        <v>1260</v>
      </c>
    </row>
    <row r="383" spans="1:52" x14ac:dyDescent="0.35">
      <c r="A383" s="2" t="str">
        <f xml:space="preserve"> _xll.EPMOlapMemberO("[LOCID].[].[Munich plant]","","Munich plant","","000")</f>
        <v>Munich plant</v>
      </c>
      <c r="B383" s="2" t="str">
        <f xml:space="preserve"> _xll.EPMOlapMemberO("[PRDID].[].[999-68017-0935]","","999-68017-0935","","000")</f>
        <v>999-68017-0935</v>
      </c>
      <c r="C383" s="2" t="str">
        <f xml:space="preserve"> _xll.EPMOlapMemberO("[BRAND].[].[ PLAIN PACKAGING]",""," PLAIN PACKAGING","","000")</f>
        <v xml:space="preserve"> PLAIN PACKAGING</v>
      </c>
      <c r="D383" s="2" t="str">
        <f xml:space="preserve"> _xll.EPMOlapMemberO("[AM2MARKETDESCR].[].[FRANCE]","","FRANCE","","000")</f>
        <v>FRANCE</v>
      </c>
      <c r="E383" s="2" t="str">
        <f xml:space="preserve"> _xll.EPMOlapMemberO("[AM2PARENTCUSTGROUP].[].[__NULL]","","(None)","","000")</f>
        <v>(None)</v>
      </c>
      <c r="F383" s="2" t="str">
        <f xml:space="preserve"> _xll.EPMOlapMemberO("[KEY_FIGURES].[].[INITIALINVENTORY]","","Stock","","000")</f>
        <v>Stock</v>
      </c>
      <c r="AQ383" s="2">
        <v>1995</v>
      </c>
    </row>
    <row r="384" spans="1:52" x14ac:dyDescent="0.35">
      <c r="A384" s="2" t="str">
        <f xml:space="preserve"> _xll.EPMOlapMemberO("[LOCID].[].[Munich plant]","","Munich plant","","000")</f>
        <v>Munich plant</v>
      </c>
      <c r="B384" s="2" t="str">
        <f xml:space="preserve"> _xll.EPMOlapMemberO("[PRDID].[].[999-68017-0936]","","999-68017-0936","","000")</f>
        <v>999-68017-0936</v>
      </c>
      <c r="C384" s="2" t="str">
        <f xml:space="preserve"> _xll.EPMOlapMemberO("[BRAND].[].[ PLAIN PACKAGING]",""," PLAIN PACKAGING","","000")</f>
        <v xml:space="preserve"> PLAIN PACKAGING</v>
      </c>
      <c r="D384" s="2" t="str">
        <f xml:space="preserve"> _xll.EPMOlapMemberO("[AM2MARKETDESCR].[].[FRANCE]","","FRANCE","","000")</f>
        <v>FRANCE</v>
      </c>
      <c r="E384" s="2" t="str">
        <f xml:space="preserve"> _xll.EPMOlapMemberO("[AM2PARENTCUSTGROUP].[].[__NULL]","","(None)","","000")</f>
        <v>(None)</v>
      </c>
      <c r="F384" s="2" t="str">
        <f xml:space="preserve"> _xll.EPMOlapMemberO("[KEY_FIGURES].[].[CONFIRMEDPRODUCTION]","","Production Order","","000")</f>
        <v>Production Order</v>
      </c>
      <c r="AU384" s="2">
        <v>75</v>
      </c>
      <c r="AZ384" s="2">
        <v>25</v>
      </c>
    </row>
    <row r="385" spans="1:52" x14ac:dyDescent="0.35">
      <c r="A385" s="2" t="str">
        <f xml:space="preserve"> _xll.EPMOlapMemberO("[LOCID].[].[Munich plant]","","Munich plant","","000")</f>
        <v>Munich plant</v>
      </c>
      <c r="B385" s="2" t="str">
        <f xml:space="preserve"> _xll.EPMOlapMemberO("[PRDID].[].[999-68017-0938]","","999-68017-0938","","000")</f>
        <v>999-68017-0938</v>
      </c>
      <c r="C385" s="2" t="str">
        <f xml:space="preserve"> _xll.EPMOlapMemberO("[BRAND].[].[ PLAIN PACKAGING]",""," PLAIN PACKAGING","","000")</f>
        <v xml:space="preserve"> PLAIN PACKAGING</v>
      </c>
      <c r="D385" s="2" t="str">
        <f xml:space="preserve"> _xll.EPMOlapMemberO("[AM2MARKETDESCR].[].[REUNION]","","REUNION","","000")</f>
        <v>REUNION</v>
      </c>
      <c r="E385" s="2" t="str">
        <f xml:space="preserve"> _xll.EPMOlapMemberO("[AM2PARENTCUSTGROUP].[].[__NULL]","","(None)","","000")</f>
        <v>(None)</v>
      </c>
      <c r="F385" s="2" t="str">
        <f xml:space="preserve"> _xll.EPMOlapMemberO("[KEY_FIGURES].[].[CONFIRMEDPRODUCTION]","","Production Order","","000")</f>
        <v>Production Order</v>
      </c>
      <c r="AR385" s="2">
        <v>315</v>
      </c>
      <c r="AT385" s="2">
        <v>222</v>
      </c>
      <c r="AX385" s="2">
        <v>84</v>
      </c>
    </row>
    <row r="386" spans="1:52" x14ac:dyDescent="0.35">
      <c r="A386" s="2" t="str">
        <f xml:space="preserve"> _xll.EPMOlapMemberO("[LOCID].[].[Munich plant]","","Munich plant","","000")</f>
        <v>Munich plant</v>
      </c>
      <c r="B386" s="2" t="str">
        <f xml:space="preserve"> _xll.EPMOlapMemberO("[PRDID].[].[999-68017-0939]","","999-68017-0939","","000")</f>
        <v>999-68017-0939</v>
      </c>
      <c r="C386" s="2" t="str">
        <f xml:space="preserve"> _xll.EPMOlapMemberO("[BRAND].[].[ PLAIN PACKAGING]",""," PLAIN PACKAGING","","000")</f>
        <v xml:space="preserve"> PLAIN PACKAGING</v>
      </c>
      <c r="D386" s="2" t="str">
        <f xml:space="preserve"> _xll.EPMOlapMemberO("[AM2MARKETDESCR].[].[REUNION]","","REUNION","","000")</f>
        <v>REUNION</v>
      </c>
      <c r="E386" s="2" t="str">
        <f xml:space="preserve"> _xll.EPMOlapMemberO("[AM2PARENTCUSTGROUP].[].[__NULL]","","(None)","","000")</f>
        <v>(None)</v>
      </c>
      <c r="F386" s="2" t="str">
        <f xml:space="preserve"> _xll.EPMOlapMemberO("[KEY_FIGURES].[].[CONFIRMEDPRODUCTION]","","Production Order","","000")</f>
        <v>Production Order</v>
      </c>
      <c r="AR386" s="2">
        <v>1050</v>
      </c>
      <c r="AS386" s="2">
        <v>620</v>
      </c>
      <c r="AT386" s="2">
        <v>35</v>
      </c>
      <c r="AV386" s="2">
        <v>30</v>
      </c>
      <c r="AY386" s="2">
        <v>50</v>
      </c>
    </row>
    <row r="387" spans="1:52" x14ac:dyDescent="0.35">
      <c r="A387" s="2" t="str">
        <f xml:space="preserve"> _xll.EPMOlapMemberO("[LOCID].[].[Munich plant]","","Munich plant","","000")</f>
        <v>Munich plant</v>
      </c>
      <c r="B387" s="2" t="str">
        <f xml:space="preserve"> _xll.EPMOlapMemberO("[PRDID].[].[999-68017-0940]","","999-68017-0940","","000")</f>
        <v>999-68017-0940</v>
      </c>
      <c r="C387" s="2" t="str">
        <f xml:space="preserve"> _xll.EPMOlapMemberO("[BRAND].[].[ PLAIN PACKAGING]",""," PLAIN PACKAGING","","000")</f>
        <v xml:space="preserve"> PLAIN PACKAGING</v>
      </c>
      <c r="D387" s="2" t="str">
        <f xml:space="preserve"> _xll.EPMOlapMemberO("[AM2MARKETDESCR].[].[REUNION]","","REUNION","","000")</f>
        <v>REUNION</v>
      </c>
      <c r="E387" s="2" t="str">
        <f xml:space="preserve"> _xll.EPMOlapMemberO("[AM2PARENTCUSTGROUP].[].[__NULL]","","(None)","","000")</f>
        <v>(None)</v>
      </c>
      <c r="F387" s="2" t="str">
        <f xml:space="preserve"> _xll.EPMOlapMemberO("[KEY_FIGURES].[].[CONFIRMEDPRODUCTION]","","Production Order","","000")</f>
        <v>Production Order</v>
      </c>
      <c r="AR387" s="2">
        <v>1890</v>
      </c>
      <c r="AS387" s="2">
        <v>767.5</v>
      </c>
      <c r="AT387" s="2">
        <v>137.5</v>
      </c>
      <c r="AV387" s="2">
        <v>87.5</v>
      </c>
      <c r="AX387" s="2">
        <v>127.5</v>
      </c>
      <c r="AZ387" s="2">
        <v>137.5</v>
      </c>
    </row>
    <row r="388" spans="1:52" x14ac:dyDescent="0.35">
      <c r="A388" s="2" t="str">
        <f xml:space="preserve"> _xll.EPMOlapMemberO("[LOCID].[].[Munich plant]","","Munich plant","","000")</f>
        <v>Munich plant</v>
      </c>
      <c r="B388" s="2" t="str">
        <f xml:space="preserve"> _xll.EPMOlapMemberO("[PRDID].[].[999-68017-0941]","","999-68017-0941","","000")</f>
        <v>999-68017-0941</v>
      </c>
      <c r="C388" s="2" t="str">
        <f xml:space="preserve"> _xll.EPMOlapMemberO("[BRAND].[].[ PLAIN PACKAGING]",""," PLAIN PACKAGING","","000")</f>
        <v xml:space="preserve"> PLAIN PACKAGING</v>
      </c>
      <c r="D388" s="2" t="str">
        <f xml:space="preserve"> _xll.EPMOlapMemberO("[AM2MARKETDESCR].[].[REUNION]","","REUNION","","000")</f>
        <v>REUNION</v>
      </c>
      <c r="E388" s="2" t="str">
        <f xml:space="preserve"> _xll.EPMOlapMemberO("[AM2PARENTCUSTGROUP].[].[__NULL]","","(None)","","000")</f>
        <v>(None)</v>
      </c>
      <c r="F388" s="2" t="str">
        <f xml:space="preserve"> _xll.EPMOlapMemberO("[KEY_FIGURES].[].[CONFIRMEDPRODUCTION]","","Production Order","","000")</f>
        <v>Production Order</v>
      </c>
      <c r="AR388" s="2">
        <v>210</v>
      </c>
      <c r="AT388" s="2">
        <v>172.5</v>
      </c>
      <c r="AX388" s="2">
        <v>70</v>
      </c>
    </row>
    <row r="389" spans="1:52" x14ac:dyDescent="0.35">
      <c r="A389" s="2" t="str">
        <f xml:space="preserve"> _xll.EPMOlapMemberO("[LOCID].[].[Munich plant]","","Munich plant","","000")</f>
        <v>Munich plant</v>
      </c>
      <c r="B389" s="2" t="str">
        <f xml:space="preserve"> _xll.EPMOlapMemberO("[PRDID].[].[999-68017-0942]","","999-68017-0942","","000")</f>
        <v>999-68017-0942</v>
      </c>
      <c r="C389" s="2" t="str">
        <f xml:space="preserve"> _xll.EPMOlapMemberO("[BRAND].[].[ PLAIN PACKAGING]",""," PLAIN PACKAGING","","000")</f>
        <v xml:space="preserve"> PLAIN PACKAGING</v>
      </c>
      <c r="D389" s="2" t="str">
        <f xml:space="preserve"> _xll.EPMOlapMemberO("[AM2MARKETDESCR].[].[FRANCE ESTIC]","","FRANCE ESTIC","","000")</f>
        <v>FRANCE ESTIC</v>
      </c>
      <c r="E389" s="2" t="str">
        <f xml:space="preserve"> _xll.EPMOlapMemberO("[AM2PARENTCUSTGROUP].[].[__NULL]","","(None)","","000")</f>
        <v>(None)</v>
      </c>
      <c r="F389" s="2" t="str">
        <f xml:space="preserve"> _xll.EPMOlapMemberO("[KEY_FIGURES].[].[CONFIRMEDPRODUCTION]","","Production Order","","000")</f>
        <v>Production Order</v>
      </c>
      <c r="AS389" s="2">
        <v>574</v>
      </c>
    </row>
    <row r="390" spans="1:52" x14ac:dyDescent="0.35">
      <c r="A390" s="2" t="str">
        <f xml:space="preserve"> _xll.EPMOlapMemberO("[LOCID].[].[Munich plant]","","Munich plant","","000")</f>
        <v>Munich plant</v>
      </c>
      <c r="B390" s="2" t="str">
        <f xml:space="preserve"> _xll.EPMOlapMemberO("[PRDID].[].[999-68017-0947]","","999-68017-0947","","000")</f>
        <v>999-68017-0947</v>
      </c>
      <c r="C390" s="2" t="str">
        <f xml:space="preserve"> _xll.EPMOlapMemberO("[BRAND].[].[ PLAIN PACKAGING]",""," PLAIN PACKAGING","","000")</f>
        <v xml:space="preserve"> PLAIN PACKAGING</v>
      </c>
      <c r="D390" s="2" t="str">
        <f xml:space="preserve"> _xll.EPMOlapMemberO("[AM2MARKETDESCR].[].[FRANCE ESTIC]","","FRANCE ESTIC","","000")</f>
        <v>FRANCE ESTIC</v>
      </c>
      <c r="E390" s="2" t="str">
        <f xml:space="preserve"> _xll.EPMOlapMemberO("[AM2PARENTCUSTGROUP].[].[__NULL]","","(None)","","000")</f>
        <v>(None)</v>
      </c>
      <c r="F390" s="2" t="str">
        <f xml:space="preserve"> _xll.EPMOlapMemberO("[KEY_FIGURES].[].[CONFIRMEDPRODUCTION]","","Production Order","","000")</f>
        <v>Production Order</v>
      </c>
      <c r="AR390" s="2">
        <v>126.667</v>
      </c>
      <c r="AX390" s="2">
        <v>2.5</v>
      </c>
    </row>
    <row r="391" spans="1:52" x14ac:dyDescent="0.35">
      <c r="A391" s="2" t="str">
        <f xml:space="preserve"> _xll.EPMOlapMemberO("[LOCID].[].[Munich plant]","","Munich plant","","000")</f>
        <v>Munich plant</v>
      </c>
      <c r="B391" s="2" t="str">
        <f xml:space="preserve"> _xll.EPMOlapMemberO("[PRDID].[].[999-68017-0948]","","999-68017-0948","","000")</f>
        <v>999-68017-0948</v>
      </c>
      <c r="C391" s="2" t="str">
        <f xml:space="preserve"> _xll.EPMOlapMemberO("[BRAND].[].[ PLAIN PACKAGING]",""," PLAIN PACKAGING","","000")</f>
        <v xml:space="preserve"> PLAIN PACKAGING</v>
      </c>
      <c r="D391" s="2" t="str">
        <f xml:space="preserve"> _xll.EPMOlapMemberO("[AM2MARKETDESCR].[].[FRANCE ESTIC]","","FRANCE ESTIC","","000")</f>
        <v>FRANCE ESTIC</v>
      </c>
      <c r="E391" s="2" t="str">
        <f xml:space="preserve"> _xll.EPMOlapMemberO("[AM2PARENTCUSTGROUP].[].[__NULL]","","(None)","","000")</f>
        <v>(None)</v>
      </c>
      <c r="F391" s="2" t="str">
        <f xml:space="preserve"> _xll.EPMOlapMemberO("[KEY_FIGURES].[].[CONFIRMEDPRODUCTION]","","Production Order","","000")</f>
        <v>Production Order</v>
      </c>
      <c r="AR391" s="2">
        <v>105</v>
      </c>
      <c r="AV391" s="2">
        <v>28.5</v>
      </c>
      <c r="AX391" s="2">
        <v>0.6</v>
      </c>
    </row>
    <row r="392" spans="1:52" x14ac:dyDescent="0.35">
      <c r="A392" s="2" t="str">
        <f xml:space="preserve"> _xll.EPMOlapMemberO("[LOCID].[].[Munich plant]","","Munich plant","","000")</f>
        <v>Munich plant</v>
      </c>
      <c r="B392" s="2" t="str">
        <f xml:space="preserve"> _xll.EPMOlapMemberO("[PRDID].[].[999-68017-0953]","","999-68017-0953","","000")</f>
        <v>999-68017-0953</v>
      </c>
      <c r="C392" s="2" t="str">
        <f xml:space="preserve"> _xll.EPMOlapMemberO("[BRAND].[].[ PLAIN PACKAGING]",""," PLAIN PACKAGING","","000")</f>
        <v xml:space="preserve"> PLAIN PACKAGING</v>
      </c>
      <c r="D392" s="2" t="str">
        <f xml:space="preserve"> _xll.EPMOlapMemberO("[AM2MARKETDESCR].[].[FINLAND]","","FINLAND","","000")</f>
        <v>FINLAND</v>
      </c>
      <c r="E392" s="2" t="str">
        <f xml:space="preserve"> _xll.EPMOlapMemberO("[AM2PARENTCUSTGROUP].[].[__NULL]","","(None)","","000")</f>
        <v>(None)</v>
      </c>
      <c r="F392" s="2" t="str">
        <f xml:space="preserve"> _xll.EPMOlapMemberO("[KEY_FIGURES].[].[CONFIRMEDPRODUCTION]","","Production Order","","000")</f>
        <v>Production Order</v>
      </c>
      <c r="AR392" s="2">
        <v>201.6</v>
      </c>
    </row>
    <row r="393" spans="1:52" x14ac:dyDescent="0.35">
      <c r="A393" s="2" t="str">
        <f xml:space="preserve"> _xll.EPMOlapMemberO("[LOCID].[].[Munich plant]","","Munich plant","","000")</f>
        <v>Munich plant</v>
      </c>
      <c r="B393" s="2" t="str">
        <f xml:space="preserve"> _xll.EPMOlapMemberO("[PRDID].[].[999-68149-0349]","","999-68149-0349","","000")</f>
        <v>999-68149-0349</v>
      </c>
      <c r="C393" s="2" t="str">
        <f xml:space="preserve"> _xll.EPMOlapMemberO("[BRAND].[].[ KARELIA SLIMS]",""," KARELIA SLIMS","","000")</f>
        <v xml:space="preserve"> KARELIA SLIMS</v>
      </c>
      <c r="D393" s="2" t="str">
        <f xml:space="preserve"> _xll.EPMOlapMemberO("[AM2MARKETDESCR].[].[BULGARIA]","","BULGARIA","","000")</f>
        <v>BULGARIA</v>
      </c>
      <c r="E393" s="2" t="str">
        <f xml:space="preserve"> _xll.EPMOlapMemberO("[AM2PARENTCUSTGROUP].[].[__NULL]","","(None)","","000")</f>
        <v>(None)</v>
      </c>
      <c r="F393" s="2" t="str">
        <f xml:space="preserve"> _xll.EPMOlapMemberO("[KEY_FIGURES].[].[CONFIRMEDPRODUCTION]","","Production Order","","000")</f>
        <v>Production Order</v>
      </c>
      <c r="AQ393" s="2">
        <v>7098</v>
      </c>
    </row>
    <row r="394" spans="1:52" x14ac:dyDescent="0.35">
      <c r="A394" s="2" t="str">
        <f xml:space="preserve"> _xll.EPMOlapMemberO("[LOCID].[].[Munich plant]","","Munich plant","","000")</f>
        <v>Munich plant</v>
      </c>
      <c r="B394" s="2" t="str">
        <f xml:space="preserve"> _xll.EPMOlapMemberO("[PRDID].[].[999-68149-0350]","","999-68149-0350","","000")</f>
        <v>999-68149-0350</v>
      </c>
      <c r="C394" s="2" t="str">
        <f xml:space="preserve"> _xll.EPMOlapMemberO("[BRAND].[].[ KARELIA SLIMS]",""," KARELIA SLIMS","","000")</f>
        <v xml:space="preserve"> KARELIA SLIMS</v>
      </c>
      <c r="D394" s="2" t="str">
        <f xml:space="preserve"> _xll.EPMOlapMemberO("[AM2MARKETDESCR].[].[BULGARIA]","","BULGARIA","","000")</f>
        <v>BULGARIA</v>
      </c>
      <c r="E394" s="2" t="str">
        <f xml:space="preserve"> _xll.EPMOlapMemberO("[AM2PARENTCUSTGROUP].[].[__NULL]","","(None)","","000")</f>
        <v>(None)</v>
      </c>
      <c r="F394" s="2" t="str">
        <f xml:space="preserve"> _xll.EPMOlapMemberO("[KEY_FIGURES].[].[INITIALINVENTORY]","","Stock","","000")</f>
        <v>Stock</v>
      </c>
      <c r="AQ394" s="2">
        <v>2388.75</v>
      </c>
    </row>
    <row r="395" spans="1:52" x14ac:dyDescent="0.35">
      <c r="A395" s="2" t="str">
        <f xml:space="preserve"> _xll.EPMOlapMemberO("[LOCID].[].[Munich plant]","","Munich plant","","000")</f>
        <v>Munich plant</v>
      </c>
      <c r="B395" s="2" t="str">
        <f xml:space="preserve"> _xll.EPMOlapMemberO("[PRDID].[].[999-68149-0351]","","999-68149-0351","","000")</f>
        <v>999-68149-0351</v>
      </c>
      <c r="C395" s="2" t="str">
        <f xml:space="preserve"> _xll.EPMOlapMemberO("[BRAND].[].[ KARELIA SLIMS]",""," KARELIA SLIMS","","000")</f>
        <v xml:space="preserve"> KARELIA SLIMS</v>
      </c>
      <c r="D395" s="2" t="str">
        <f xml:space="preserve"> _xll.EPMOlapMemberO("[AM2MARKETDESCR].[].[BULGARIA]","","BULGARIA","","000")</f>
        <v>BULGARIA</v>
      </c>
      <c r="E395" s="2" t="str">
        <f xml:space="preserve"> _xll.EPMOlapMemberO("[AM2PARENTCUSTGROUP].[].[__NULL]","","(None)","","000")</f>
        <v>(None)</v>
      </c>
      <c r="F395" s="2" t="str">
        <f xml:space="preserve"> _xll.EPMOlapMemberO("[KEY_FIGURES].[].[CONFIRMEDPRODUCTION]","","Production Order","","000")</f>
        <v>Production Order</v>
      </c>
      <c r="AQ395" s="2">
        <v>253.5</v>
      </c>
    </row>
    <row r="396" spans="1:52" x14ac:dyDescent="0.35">
      <c r="A396" s="2" t="str">
        <f xml:space="preserve"> _xll.EPMOlapMemberO("[LOCID].[].[Munich plant]","","Munich plant","","000")</f>
        <v>Munich plant</v>
      </c>
      <c r="B396" s="2" t="str">
        <f xml:space="preserve"> _xll.EPMOlapMemberO("[PRDID].[].[999-68149-0352]","","999-68149-0352","","000")</f>
        <v>999-68149-0352</v>
      </c>
      <c r="C396" s="2" t="str">
        <f xml:space="preserve"> _xll.EPMOlapMemberO("[BRAND].[].[ KARELIA SLIMS]",""," KARELIA SLIMS","","000")</f>
        <v xml:space="preserve"> KARELIA SLIMS</v>
      </c>
      <c r="D396" s="2" t="str">
        <f xml:space="preserve"> _xll.EPMOlapMemberO("[AM2MARKETDESCR].[].[BULGARIA]","","BULGARIA","","000")</f>
        <v>BULGARIA</v>
      </c>
      <c r="E396" s="2" t="str">
        <f xml:space="preserve"> _xll.EPMOlapMemberO("[AM2PARENTCUSTGROUP].[].[__NULL]","","(None)","","000")</f>
        <v>(None)</v>
      </c>
      <c r="F396" s="2" t="str">
        <f xml:space="preserve"> _xll.EPMOlapMemberO("[KEY_FIGURES].[].[INITIALINVENTORY]","","Stock","","000")</f>
        <v>Stock</v>
      </c>
      <c r="AQ396" s="2">
        <v>2535</v>
      </c>
    </row>
    <row r="397" spans="1:52" x14ac:dyDescent="0.35">
      <c r="A397" s="2" t="str">
        <f xml:space="preserve"> _xll.EPMOlapMemberO("[LOCID].[].[Munich plant]","","Munich plant","","000")</f>
        <v>Munich plant</v>
      </c>
      <c r="B397" s="2" t="str">
        <f xml:space="preserve"> _xll.EPMOlapMemberO("[PRDID].[].[999-68149-0353]","","999-68149-0353","","000")</f>
        <v>999-68149-0353</v>
      </c>
      <c r="C397" s="2" t="str">
        <f xml:space="preserve"> _xll.EPMOlapMemberO("[BRAND].[].[ KARELIA SLIMS]",""," KARELIA SLIMS","","000")</f>
        <v xml:space="preserve"> KARELIA SLIMS</v>
      </c>
      <c r="D397" s="2" t="str">
        <f xml:space="preserve"> _xll.EPMOlapMemberO("[AM2MARKETDESCR].[].[GREECE]","","GREECE","","000")</f>
        <v>GREECE</v>
      </c>
      <c r="E397" s="2" t="str">
        <f xml:space="preserve"> _xll.EPMOlapMemberO("[AM2PARENTCUSTGROUP].[].[__NULL]","","(None)","","000")</f>
        <v>(None)</v>
      </c>
      <c r="F397" s="2" t="str">
        <f xml:space="preserve"> _xll.EPMOlapMemberO("[KEY_FIGURES].[].[CONFIRMEDPRODUCTION]","","Production Order","","000")</f>
        <v>Production Order</v>
      </c>
      <c r="AQ397" s="2">
        <v>4689.75</v>
      </c>
    </row>
    <row r="398" spans="1:52" x14ac:dyDescent="0.35">
      <c r="A398" s="2" t="str">
        <f xml:space="preserve"> _xll.EPMOlapMemberO("[LOCID].[].[Munich plant]","","Munich plant","","000")</f>
        <v>Munich plant</v>
      </c>
      <c r="B398" s="2" t="str">
        <f xml:space="preserve"> _xll.EPMOlapMemberO("[PRDID].[].[999-68149-0354]","","999-68149-0354","","000")</f>
        <v>999-68149-0354</v>
      </c>
      <c r="C398" s="2" t="str">
        <f xml:space="preserve"> _xll.EPMOlapMemberO("[BRAND].[].[ KARELIA SLIMS]",""," KARELIA SLIMS","","000")</f>
        <v xml:space="preserve"> KARELIA SLIMS</v>
      </c>
      <c r="D398" s="2" t="str">
        <f xml:space="preserve"> _xll.EPMOlapMemberO("[AM2MARKETDESCR].[].[GREECE]","","GREECE","","000")</f>
        <v>GREECE</v>
      </c>
      <c r="E398" s="2" t="str">
        <f xml:space="preserve"> _xll.EPMOlapMemberO("[AM2PARENTCUSTGROUP].[].[__NULL]","","(None)","","000")</f>
        <v>(None)</v>
      </c>
      <c r="F398" s="2" t="str">
        <f xml:space="preserve"> _xll.EPMOlapMemberO("[KEY_FIGURES].[].[CONFIRMEDPRODUCTION]","","Production Order","","000")</f>
        <v>Production Order</v>
      </c>
      <c r="AQ398" s="2">
        <v>380.25</v>
      </c>
    </row>
    <row r="399" spans="1:52" x14ac:dyDescent="0.35">
      <c r="A399" s="2" t="str">
        <f xml:space="preserve"> _xll.EPMOlapMemberO("[LOCID].[].[Munich plant]","","Munich plant","","000")</f>
        <v>Munich plant</v>
      </c>
      <c r="B399" s="2" t="str">
        <f xml:space="preserve"> _xll.EPMOlapMemberO("[PRDID].[].[999-68149-0356]","","999-68149-0356","","000")</f>
        <v>999-68149-0356</v>
      </c>
      <c r="C399" s="2" t="str">
        <f xml:space="preserve"> _xll.EPMOlapMemberO("[BRAND].[].[ KARELIA SLIMS]",""," KARELIA SLIMS","","000")</f>
        <v xml:space="preserve"> KARELIA SLIMS</v>
      </c>
      <c r="D399" s="2" t="str">
        <f xml:space="preserve"> _xll.EPMOlapMemberO("[AM2MARKETDESCR].[].[GREECE]","","GREECE","","000")</f>
        <v>GREECE</v>
      </c>
      <c r="E399" s="2" t="str">
        <f xml:space="preserve"> _xll.EPMOlapMemberO("[AM2PARENTCUSTGROUP].[].[__NULL]","","(None)","","000")</f>
        <v>(None)</v>
      </c>
      <c r="F399" s="2" t="str">
        <f xml:space="preserve"> _xll.EPMOlapMemberO("[KEY_FIGURES].[].[CONFIRMEDPRODUCTION]","","Production Order","","000")</f>
        <v>Production Order</v>
      </c>
      <c r="AQ399" s="2">
        <v>380.25</v>
      </c>
    </row>
    <row r="400" spans="1:52" x14ac:dyDescent="0.35">
      <c r="A400" s="2" t="str">
        <f xml:space="preserve"> _xll.EPMOlapMemberO("[LOCID].[].[Munich plant]","","Munich plant","","000")</f>
        <v>Munich plant</v>
      </c>
      <c r="B400" s="2" t="str">
        <f xml:space="preserve"> _xll.EPMOlapMemberO("[PRDID].[].[999-68149-0364]","","999-68149-0364","","000")</f>
        <v>999-68149-0364</v>
      </c>
      <c r="C400" s="2" t="str">
        <f xml:space="preserve"> _xll.EPMOlapMemberO("[BRAND].[].[ KARELIA SLIMS]",""," KARELIA SLIMS","","000")</f>
        <v xml:space="preserve"> KARELIA SLIMS</v>
      </c>
      <c r="D400" s="2" t="str">
        <f xml:space="preserve"> _xll.EPMOlapMemberO("[AM2MARKETDESCR].[].[CZECH REPUBLIC]","","CZECH REPUBLIC","","000")</f>
        <v>CZECH REPUBLIC</v>
      </c>
      <c r="E400" s="2" t="str">
        <f xml:space="preserve"> _xll.EPMOlapMemberO("[AM2PARENTCUSTGROUP].[].[__NULL]","","(None)","","000")</f>
        <v>(None)</v>
      </c>
      <c r="F400" s="2" t="str">
        <f xml:space="preserve"> _xll.EPMOlapMemberO("[KEY_FIGURES].[].[CONFIRMEDPRODUCTION]","","Production Order","","000")</f>
        <v>Production Order</v>
      </c>
      <c r="AQ400" s="2">
        <v>126.75</v>
      </c>
    </row>
    <row r="401" spans="1:43" x14ac:dyDescent="0.35">
      <c r="A401" s="2" t="str">
        <f xml:space="preserve"> _xll.EPMOlapMemberO("[LOCID].[].[Munich plant]","","Munich plant","","000")</f>
        <v>Munich plant</v>
      </c>
      <c r="B401" s="2" t="str">
        <f xml:space="preserve"> _xll.EPMOlapMemberO("[PRDID].[].[999-68149-0412]","","999-68149-0412","","000")</f>
        <v>999-68149-0412</v>
      </c>
      <c r="C401" s="2" t="str">
        <f xml:space="preserve"> _xll.EPMOlapMemberO("[BRAND].[].[ KARELIA SLIMS]",""," KARELIA SLIMS","","000")</f>
        <v xml:space="preserve"> KARELIA SLIMS</v>
      </c>
      <c r="D401" s="2" t="str">
        <f xml:space="preserve"> _xll.EPMOlapMemberO("[AM2MARKETDESCR].[].[ALBANIA]","","ALBANIA","","000")</f>
        <v>ALBANIA</v>
      </c>
      <c r="E401" s="2" t="str">
        <f xml:space="preserve"> _xll.EPMOlapMemberO("[AM2PARENTCUSTGROUP].[].[__NULL]","","(None)","","000")</f>
        <v>(None)</v>
      </c>
      <c r="F401" s="2" t="str">
        <f xml:space="preserve"> _xll.EPMOlapMemberO("[KEY_FIGURES].[].[INITIALINVENTORY]","","Stock","","000")</f>
        <v>Stock</v>
      </c>
      <c r="AQ401" s="2">
        <v>126.75</v>
      </c>
    </row>
    <row r="402" spans="1:43" x14ac:dyDescent="0.35">
      <c r="A402" s="2" t="str">
        <f xml:space="preserve"> _xll.EPMOlapMemberO("[LOCID].[].[Munich plant]","","Munich plant","","000")</f>
        <v>Munich plant</v>
      </c>
      <c r="B402" s="2" t="str">
        <f xml:space="preserve"> _xll.EPMOlapMemberO("[PRDID].[].[999-68216-0472]","","999-68216-0472","","000")</f>
        <v>999-68216-0472</v>
      </c>
      <c r="C402" s="2" t="str">
        <f xml:space="preserve"> _xll.EPMOlapMemberO("[BRAND].[].[ MARLBORO]",""," MARLBORO","","000")</f>
        <v xml:space="preserve"> MARLBORO</v>
      </c>
      <c r="D402" s="2" t="str">
        <f xml:space="preserve"> _xll.EPMOlapMemberO("[AM2MARKETDESCR].[].[NETHERLANDS ]","","NETHERLANDS ","","000")</f>
        <v xml:space="preserve">NETHERLANDS </v>
      </c>
      <c r="E402" s="2" t="str">
        <f xml:space="preserve"> _xll.EPMOlapMemberO("[AM2PARENTCUSTGROUP].[].[Mondelez]","","Mondelez","","000")</f>
        <v>Mondelez</v>
      </c>
      <c r="F402" s="2" t="str">
        <f xml:space="preserve"> _xll.EPMOlapMemberO("[KEY_FIGURES].[].[AM2ORDERINTAKE]","","Sales Order","","000")</f>
        <v>Sales Order</v>
      </c>
      <c r="S402" s="2">
        <v>966.60635200000002</v>
      </c>
      <c r="W402" s="2">
        <v>207.12993299999999</v>
      </c>
      <c r="X402" s="2">
        <v>586.86814300000003</v>
      </c>
      <c r="Z402" s="2">
        <v>2989</v>
      </c>
      <c r="AB402" s="2">
        <v>189</v>
      </c>
    </row>
    <row r="403" spans="1:43" x14ac:dyDescent="0.35">
      <c r="A403" s="2" t="str">
        <f xml:space="preserve"> _xll.EPMOlapMemberO("[LOCID].[].[Munich plant]","","Munich plant","","000")</f>
        <v>Munich plant</v>
      </c>
      <c r="B403" s="2" t="str">
        <f xml:space="preserve"> _xll.EPMOlapMemberO("[PRDID].[].[999-68216-0472]","","999-68216-0472","","000")</f>
        <v>999-68216-0472</v>
      </c>
      <c r="C403" s="2" t="str">
        <f xml:space="preserve"> _xll.EPMOlapMemberO("[BRAND].[].[ MARLBORO]",""," MARLBORO","","000")</f>
        <v xml:space="preserve"> MARLBORO</v>
      </c>
      <c r="D403" s="2" t="str">
        <f xml:space="preserve"> _xll.EPMOlapMemberO("[AM2MARKETDESCR].[].[NETHERLANDS ]","","NETHERLANDS ","","000")</f>
        <v xml:space="preserve">NETHERLANDS </v>
      </c>
      <c r="E403" s="2" t="str">
        <f xml:space="preserve"> _xll.EPMOlapMemberO("[AM2PARENTCUSTGROUP].[].[Mondelez]","","Mondelez","","000")</f>
        <v>Mondelez</v>
      </c>
      <c r="F403" s="2" t="str">
        <f xml:space="preserve"> _xll.EPMOlapMemberO("[KEY_FIGURES].[].[AM2ACTUALSHIPMENTS]","","Shipments","","000")</f>
        <v>Shipments</v>
      </c>
      <c r="S403" s="2">
        <v>2289</v>
      </c>
      <c r="U403" s="2">
        <v>2688</v>
      </c>
      <c r="W403" s="2">
        <v>469</v>
      </c>
      <c r="X403" s="2">
        <v>1428</v>
      </c>
      <c r="AA403" s="2">
        <v>2485</v>
      </c>
      <c r="AB403" s="2">
        <v>189</v>
      </c>
    </row>
    <row r="404" spans="1:43" x14ac:dyDescent="0.35">
      <c r="A404" s="2" t="str">
        <f xml:space="preserve"> _xll.EPMOlapMemberO("[LOCID].[].[Munich plant]","","Munich plant","","000")</f>
        <v>Munich plant</v>
      </c>
      <c r="B404" s="2" t="str">
        <f xml:space="preserve"> _xll.EPMOlapMemberO("[PRDID].[].[999-68216-0473]","","999-68216-0473","","000")</f>
        <v>999-68216-0473</v>
      </c>
      <c r="C404" s="2" t="str">
        <f xml:space="preserve"> _xll.EPMOlapMemberO("[BRAND].[].[ MARLBORO]",""," MARLBORO","","000")</f>
        <v xml:space="preserve"> MARLBORO</v>
      </c>
      <c r="D404" s="2" t="str">
        <f xml:space="preserve"> _xll.EPMOlapMemberO("[AM2MARKETDESCR].[].[NETHERLANDS ]","","NETHERLANDS ","","000")</f>
        <v xml:space="preserve">NETHERLANDS </v>
      </c>
      <c r="E404" s="2" t="str">
        <f xml:space="preserve"> _xll.EPMOlapMemberO("[AM2PARENTCUSTGROUP].[].[Mondelez]","","Mondelez","","000")</f>
        <v>Mondelez</v>
      </c>
      <c r="F404" s="2" t="str">
        <f xml:space="preserve"> _xll.EPMOlapMemberO("[KEY_FIGURES].[].[AM2ORDERINTAKE]","","Sales Order","","000")</f>
        <v>Sales Order</v>
      </c>
      <c r="S404" s="2">
        <v>2856</v>
      </c>
      <c r="W404" s="2">
        <v>849.3</v>
      </c>
    </row>
    <row r="405" spans="1:43" x14ac:dyDescent="0.35">
      <c r="A405" s="2" t="str">
        <f xml:space="preserve"> _xll.EPMOlapMemberO("[LOCID].[].[Munich plant]","","Munich plant","","000")</f>
        <v>Munich plant</v>
      </c>
      <c r="B405" s="2" t="str">
        <f xml:space="preserve"> _xll.EPMOlapMemberO("[PRDID].[].[999-68216-0473]","","999-68216-0473","","000")</f>
        <v>999-68216-0473</v>
      </c>
      <c r="C405" s="2" t="str">
        <f xml:space="preserve"> _xll.EPMOlapMemberO("[BRAND].[].[ MARLBORO]",""," MARLBORO","","000")</f>
        <v xml:space="preserve"> MARLBORO</v>
      </c>
      <c r="D405" s="2" t="str">
        <f xml:space="preserve"> _xll.EPMOlapMemberO("[AM2MARKETDESCR].[].[NETHERLANDS ]","","NETHERLANDS ","","000")</f>
        <v xml:space="preserve">NETHERLANDS </v>
      </c>
      <c r="E405" s="2" t="str">
        <f xml:space="preserve"> _xll.EPMOlapMemberO("[AM2PARENTCUSTGROUP].[].[Mondelez]","","Mondelez","","000")</f>
        <v>Mondelez</v>
      </c>
      <c r="F405" s="2" t="str">
        <f xml:space="preserve"> _xll.EPMOlapMemberO("[KEY_FIGURES].[].[AM2ACTUALSHIPMENTS]","","Shipments","","000")</f>
        <v>Shipments</v>
      </c>
      <c r="S405" s="2">
        <v>2688</v>
      </c>
      <c r="T405" s="2">
        <v>168</v>
      </c>
      <c r="U405" s="2">
        <v>2114</v>
      </c>
      <c r="W405" s="2">
        <v>1124.7</v>
      </c>
      <c r="X405" s="2">
        <v>420</v>
      </c>
      <c r="AB405" s="2">
        <v>2520</v>
      </c>
    </row>
    <row r="406" spans="1:43" x14ac:dyDescent="0.35">
      <c r="A406" s="2" t="str">
        <f xml:space="preserve"> _xll.EPMOlapMemberO("[LOCID].[].[Munich plant]","","Munich plant","","000")</f>
        <v>Munich plant</v>
      </c>
      <c r="B406" s="2" t="str">
        <f xml:space="preserve"> _xll.EPMOlapMemberO("[PRDID].[].[999-68216-0485]","","999-68216-0485","","000")</f>
        <v>999-68216-0485</v>
      </c>
      <c r="C406" s="2" t="str">
        <f xml:space="preserve"> _xll.EPMOlapMemberO("[BRAND].[].[ MARLBORO]",""," MARLBORO","","000")</f>
        <v xml:space="preserve"> MARLBORO</v>
      </c>
      <c r="D406" s="2" t="str">
        <f xml:space="preserve"> _xll.EPMOlapMemberO("[AM2MARKETDESCR].[].[BELGIUM ESTIC]","","BELGIUM ESTIC","","000")</f>
        <v>BELGIUM ESTIC</v>
      </c>
      <c r="E406" s="2" t="str">
        <f xml:space="preserve"> _xll.EPMOlapMemberO("[AM2PARENTCUSTGROUP].[].[Mondelez]","","Mondelez","","000")</f>
        <v>Mondelez</v>
      </c>
      <c r="F406" s="2" t="str">
        <f xml:space="preserve"> _xll.EPMOlapMemberO("[KEY_FIGURES].[].[AM2ORDERINTAKE]","","Sales Order","","000")</f>
        <v>Sales Order</v>
      </c>
      <c r="S406" s="2">
        <v>80.181818000000007</v>
      </c>
      <c r="Y406" s="2">
        <v>84</v>
      </c>
    </row>
    <row r="407" spans="1:43" x14ac:dyDescent="0.35">
      <c r="A407" s="2" t="str">
        <f xml:space="preserve"> _xll.EPMOlapMemberO("[LOCID].[].[Munich plant]","","Munich plant","","000")</f>
        <v>Munich plant</v>
      </c>
      <c r="B407" s="2" t="str">
        <f xml:space="preserve"> _xll.EPMOlapMemberO("[PRDID].[].[999-68216-0485]","","999-68216-0485","","000")</f>
        <v>999-68216-0485</v>
      </c>
      <c r="C407" s="2" t="str">
        <f xml:space="preserve"> _xll.EPMOlapMemberO("[BRAND].[].[ MARLBORO]",""," MARLBORO","","000")</f>
        <v xml:space="preserve"> MARLBORO</v>
      </c>
      <c r="D407" s="2" t="str">
        <f xml:space="preserve"> _xll.EPMOlapMemberO("[AM2MARKETDESCR].[].[BELGIUM ESTIC]","","BELGIUM ESTIC","","000")</f>
        <v>BELGIUM ESTIC</v>
      </c>
      <c r="E407" s="2" t="str">
        <f xml:space="preserve"> _xll.EPMOlapMemberO("[AM2PARENTCUSTGROUP].[].[Mondelez]","","Mondelez","","000")</f>
        <v>Mondelez</v>
      </c>
      <c r="F407" s="2" t="str">
        <f xml:space="preserve"> _xll.EPMOlapMemberO("[KEY_FIGURES].[].[AM2ACTUALSHIPMENTS]","","Shipments","","000")</f>
        <v>Shipments</v>
      </c>
      <c r="U407" s="2">
        <v>1008</v>
      </c>
      <c r="X407" s="2">
        <v>756</v>
      </c>
      <c r="Y407" s="2">
        <v>84</v>
      </c>
    </row>
    <row r="408" spans="1:43" x14ac:dyDescent="0.35">
      <c r="A408" s="2" t="str">
        <f xml:space="preserve"> _xll.EPMOlapMemberO("[LOCID].[].[Munich plant]","","Munich plant","","000")</f>
        <v>Munich plant</v>
      </c>
      <c r="B408" s="2" t="str">
        <f xml:space="preserve"> _xll.EPMOlapMemberO("[PRDID].[].[999-68216-0486]","","999-68216-0486","","000")</f>
        <v>999-68216-0486</v>
      </c>
      <c r="C408" s="2" t="str">
        <f xml:space="preserve"> _xll.EPMOlapMemberO("[BRAND].[].[ MARLBORO]",""," MARLBORO","","000")</f>
        <v xml:space="preserve"> MARLBORO</v>
      </c>
      <c r="D408" s="2" t="str">
        <f xml:space="preserve"> _xll.EPMOlapMemberO("[AM2MARKETDESCR].[].[BELGIUM ESTIC]","","BELGIUM ESTIC","","000")</f>
        <v>BELGIUM ESTIC</v>
      </c>
      <c r="E408" s="2" t="str">
        <f xml:space="preserve"> _xll.EPMOlapMemberO("[AM2PARENTCUSTGROUP].[].[Mondelez]","","Mondelez","","000")</f>
        <v>Mondelez</v>
      </c>
      <c r="F408" s="2" t="str">
        <f xml:space="preserve"> _xll.EPMOlapMemberO("[KEY_FIGURES].[].[AM2ORDERINTAKE]","","Sales Order","","000")</f>
        <v>Sales Order</v>
      </c>
      <c r="S408" s="2">
        <v>162.580646</v>
      </c>
      <c r="W408" s="2">
        <v>609.67741899999999</v>
      </c>
    </row>
    <row r="409" spans="1:43" x14ac:dyDescent="0.35">
      <c r="A409" s="2" t="str">
        <f xml:space="preserve"> _xll.EPMOlapMemberO("[LOCID].[].[Munich plant]","","Munich plant","","000")</f>
        <v>Munich plant</v>
      </c>
      <c r="B409" s="2" t="str">
        <f xml:space="preserve"> _xll.EPMOlapMemberO("[PRDID].[].[999-68216-0486]","","999-68216-0486","","000")</f>
        <v>999-68216-0486</v>
      </c>
      <c r="C409" s="2" t="str">
        <f xml:space="preserve"> _xll.EPMOlapMemberO("[BRAND].[].[ MARLBORO]",""," MARLBORO","","000")</f>
        <v xml:space="preserve"> MARLBORO</v>
      </c>
      <c r="D409" s="2" t="str">
        <f xml:space="preserve"> _xll.EPMOlapMemberO("[AM2MARKETDESCR].[].[BELGIUM ESTIC]","","BELGIUM ESTIC","","000")</f>
        <v>BELGIUM ESTIC</v>
      </c>
      <c r="E409" s="2" t="str">
        <f xml:space="preserve"> _xll.EPMOlapMemberO("[AM2PARENTCUSTGROUP].[].[Mondelez]","","Mondelez","","000")</f>
        <v>Mondelez</v>
      </c>
      <c r="F409" s="2" t="str">
        <f xml:space="preserve"> _xll.EPMOlapMemberO("[KEY_FIGURES].[].[AM2ACTUALSHIPMENTS]","","Shipments","","000")</f>
        <v>Shipments</v>
      </c>
      <c r="U409" s="2">
        <v>504</v>
      </c>
      <c r="W409" s="2">
        <v>1113</v>
      </c>
      <c r="X409" s="2">
        <v>420</v>
      </c>
      <c r="Y409" s="2">
        <v>56</v>
      </c>
    </row>
    <row r="410" spans="1:43" x14ac:dyDescent="0.35">
      <c r="A410" s="2" t="str">
        <f xml:space="preserve"> _xll.EPMOlapMemberO("[LOCID].[].[Munich plant]","","Munich plant","","000")</f>
        <v>Munich plant</v>
      </c>
      <c r="B410" s="2" t="str">
        <f xml:space="preserve"> _xll.EPMOlapMemberO("[PRDID].[].[999-68216-0543]","","999-68216-0543","","000")</f>
        <v>999-68216-0543</v>
      </c>
      <c r="C410" s="2" t="str">
        <f xml:space="preserve"> _xll.EPMOlapMemberO("[BRAND].[].[ MARLBORO]",""," MARLBORO","","000")</f>
        <v xml:space="preserve"> MARLBORO</v>
      </c>
      <c r="D410" s="2" t="str">
        <f xml:space="preserve"> _xll.EPMOlapMemberO("[AM2MARKETDESCR].[].[BELGIUM ESTIC]","","BELGIUM ESTIC","","000")</f>
        <v>BELGIUM ESTIC</v>
      </c>
      <c r="E410" s="2" t="str">
        <f xml:space="preserve"> _xll.EPMOlapMemberO("[AM2PARENTCUSTGROUP].[].[Mondelez]","","Mondelez","","000")</f>
        <v>Mondelez</v>
      </c>
      <c r="F410" s="2" t="str">
        <f xml:space="preserve"> _xll.EPMOlapMemberO("[KEY_FIGURES].[].[AM2ACTUALSHIPMENTS]","","Shipments","","000")</f>
        <v>Shipments</v>
      </c>
      <c r="O410" s="2">
        <v>67.180823000000004</v>
      </c>
      <c r="P410" s="2">
        <v>60.679451999999998</v>
      </c>
      <c r="Q410" s="2">
        <v>67.180820999999995</v>
      </c>
      <c r="R410" s="2">
        <v>65.013696999999993</v>
      </c>
      <c r="S410" s="2">
        <v>67.180822000000006</v>
      </c>
      <c r="T410" s="2">
        <v>65.013698000000005</v>
      </c>
      <c r="U410" s="2">
        <v>67.180824999999999</v>
      </c>
      <c r="V410" s="2">
        <v>67.180824999999999</v>
      </c>
      <c r="W410" s="2">
        <v>65.013698000000005</v>
      </c>
      <c r="X410" s="2">
        <v>67.180820999999995</v>
      </c>
      <c r="Y410" s="2">
        <v>791</v>
      </c>
    </row>
    <row r="411" spans="1:43" x14ac:dyDescent="0.35">
      <c r="A411" s="2" t="str">
        <f xml:space="preserve"> _xll.EPMOlapMemberO("[LOCID].[].[Munich plant]","","Munich plant","","000")</f>
        <v>Munich plant</v>
      </c>
      <c r="B411" s="2" t="str">
        <f xml:space="preserve"> _xll.EPMOlapMemberO("[PRDID].[].[999-68216-0544]","","999-68216-0544","","000")</f>
        <v>999-68216-0544</v>
      </c>
      <c r="C411" s="2" t="str">
        <f xml:space="preserve"> _xll.EPMOlapMemberO("[BRAND].[].[ MARLBORO]",""," MARLBORO","","000")</f>
        <v xml:space="preserve"> MARLBORO</v>
      </c>
      <c r="D411" s="2" t="str">
        <f xml:space="preserve"> _xll.EPMOlapMemberO("[AM2MARKETDESCR].[].[BELGIUM ESTIC]","","BELGIUM ESTIC","","000")</f>
        <v>BELGIUM ESTIC</v>
      </c>
      <c r="E411" s="2" t="str">
        <f xml:space="preserve"> _xll.EPMOlapMemberO("[AM2PARENTCUSTGROUP].[].[Mondelez]","","Mondelez","","000")</f>
        <v>Mondelez</v>
      </c>
      <c r="F411" s="2" t="str">
        <f xml:space="preserve"> _xll.EPMOlapMemberO("[KEY_FIGURES].[].[AM2ORDERINTAKE]","","Sales Order","","000")</f>
        <v>Sales Order</v>
      </c>
      <c r="W411" s="2">
        <v>1372</v>
      </c>
    </row>
    <row r="412" spans="1:43" x14ac:dyDescent="0.35">
      <c r="A412" s="2" t="str">
        <f xml:space="preserve"> _xll.EPMOlapMemberO("[LOCID].[].[Munich plant]","","Munich plant","","000")</f>
        <v>Munich plant</v>
      </c>
      <c r="B412" s="2" t="str">
        <f xml:space="preserve"> _xll.EPMOlapMemberO("[PRDID].[].[999-68216-0544]","","999-68216-0544","","000")</f>
        <v>999-68216-0544</v>
      </c>
      <c r="C412" s="2" t="str">
        <f xml:space="preserve"> _xll.EPMOlapMemberO("[BRAND].[].[ MARLBORO]",""," MARLBORO","","000")</f>
        <v xml:space="preserve"> MARLBORO</v>
      </c>
      <c r="D412" s="2" t="str">
        <f xml:space="preserve"> _xll.EPMOlapMemberO("[AM2MARKETDESCR].[].[BELGIUM ESTIC]","","BELGIUM ESTIC","","000")</f>
        <v>BELGIUM ESTIC</v>
      </c>
      <c r="E412" s="2" t="str">
        <f xml:space="preserve"> _xll.EPMOlapMemberO("[AM2PARENTCUSTGROUP].[].[Mondelez]","","Mondelez","","000")</f>
        <v>Mondelez</v>
      </c>
      <c r="F412" s="2" t="str">
        <f xml:space="preserve"> _xll.EPMOlapMemberO("[KEY_FIGURES].[].[AM2ACTUALSHIPMENTS]","","Shipments","","000")</f>
        <v>Shipments</v>
      </c>
      <c r="X412" s="2">
        <v>1372</v>
      </c>
    </row>
    <row r="413" spans="1:43" x14ac:dyDescent="0.35">
      <c r="A413" s="2" t="str">
        <f xml:space="preserve"> _xll.EPMOlapMemberO("[LOCID].[].[Munich plant]","","Munich plant","","000")</f>
        <v>Munich plant</v>
      </c>
      <c r="B413" s="2" t="str">
        <f xml:space="preserve"> _xll.EPMOlapMemberO("[PRDID].[].[999-68216-0661]","","999-68216-0661","","000")</f>
        <v>999-68216-0661</v>
      </c>
      <c r="C413" s="2" t="str">
        <f xml:space="preserve"> _xll.EPMOlapMemberO("[BRAND].[].[ MARLBORO]",""," MARLBORO","","000")</f>
        <v xml:space="preserve"> MARLBORO</v>
      </c>
      <c r="D413" s="2" t="str">
        <f xml:space="preserve"> _xll.EPMOlapMemberO("[AM2MARKETDESCR].[].[FRANCE ESTIC]","","FRANCE ESTIC","","000")</f>
        <v>FRANCE ESTIC</v>
      </c>
      <c r="E413" s="2" t="str">
        <f xml:space="preserve"> _xll.EPMOlapMemberO("[AM2PARENTCUSTGROUP].[].[Mondelez]","","Mondelez","","000")</f>
        <v>Mondelez</v>
      </c>
      <c r="F413" s="2" t="str">
        <f xml:space="preserve"> _xll.EPMOlapMemberO("[KEY_FIGURES].[].[AM2ACTUALSHIPMENTS]","","Shipments","","000")</f>
        <v>Shipments</v>
      </c>
      <c r="AL413" s="2">
        <v>4670</v>
      </c>
    </row>
    <row r="414" spans="1:43" x14ac:dyDescent="0.35">
      <c r="A414" s="2" t="str">
        <f xml:space="preserve"> _xll.EPMOlapMemberO("[LOCID].[].[Munich plant]","","Munich plant","","000")</f>
        <v>Munich plant</v>
      </c>
      <c r="B414" s="2" t="str">
        <f xml:space="preserve"> _xll.EPMOlapMemberO("[PRDID].[].[999-69974-0038]","","999-69974-0038","","000")</f>
        <v>999-69974-0038</v>
      </c>
      <c r="C414" s="2" t="str">
        <f xml:space="preserve"> _xll.EPMOlapMemberO("[BRAND].[].[ MARLBORO]",""," MARLBORO","","000")</f>
        <v xml:space="preserve"> MARLBORO</v>
      </c>
      <c r="D414" s="2" t="str">
        <f xml:space="preserve"> _xll.EPMOlapMemberO("[AM2MARKETDESCR].[].[LUXEMBURG ]","","LUXEMBURG ","","000")</f>
        <v xml:space="preserve">LUXEMBURG </v>
      </c>
      <c r="E414" s="2" t="str">
        <f xml:space="preserve"> _xll.EPMOlapMemberO("[AM2PARENTCUSTGROUP].[].[Mondelez]","","Mondelez","","000")</f>
        <v>Mondelez</v>
      </c>
      <c r="F414" s="2" t="str">
        <f xml:space="preserve"> _xll.EPMOlapMemberO("[KEY_FIGURES].[].[AM2ORDERINTAKE]","","Sales Order","","000")</f>
        <v>Sales Order</v>
      </c>
      <c r="S414" s="2">
        <v>252</v>
      </c>
      <c r="T414" s="2">
        <v>336</v>
      </c>
      <c r="Y414" s="2">
        <v>252</v>
      </c>
    </row>
    <row r="415" spans="1:43" x14ac:dyDescent="0.35">
      <c r="A415" s="2" t="str">
        <f xml:space="preserve"> _xll.EPMOlapMemberO("[LOCID].[].[Munich plant]","","Munich plant","","000")</f>
        <v>Munich plant</v>
      </c>
      <c r="B415" s="2" t="str">
        <f xml:space="preserve"> _xll.EPMOlapMemberO("[PRDID].[].[999-69974-0038]","","999-69974-0038","","000")</f>
        <v>999-69974-0038</v>
      </c>
      <c r="C415" s="2" t="str">
        <f xml:space="preserve"> _xll.EPMOlapMemberO("[BRAND].[].[ MARLBORO]",""," MARLBORO","","000")</f>
        <v xml:space="preserve"> MARLBORO</v>
      </c>
      <c r="D415" s="2" t="str">
        <f xml:space="preserve"> _xll.EPMOlapMemberO("[AM2MARKETDESCR].[].[LUXEMBURG ]","","LUXEMBURG ","","000")</f>
        <v xml:space="preserve">LUXEMBURG </v>
      </c>
      <c r="E415" s="2" t="str">
        <f xml:space="preserve"> _xll.EPMOlapMemberO("[AM2PARENTCUSTGROUP].[].[Mondelez]","","Mondelez","","000")</f>
        <v>Mondelez</v>
      </c>
      <c r="F415" s="2" t="str">
        <f xml:space="preserve"> _xll.EPMOlapMemberO("[KEY_FIGURES].[].[AM2ACTUALSHIPMENTS]","","Shipments","","000")</f>
        <v>Shipments</v>
      </c>
      <c r="X415" s="2">
        <v>336</v>
      </c>
      <c r="Y415" s="2">
        <v>252</v>
      </c>
    </row>
    <row r="416" spans="1:43" x14ac:dyDescent="0.35">
      <c r="A416" s="2" t="str">
        <f xml:space="preserve"> _xll.EPMOlapMemberO("[LOCID].[].[Munich plant]","","Munich plant","","000")</f>
        <v>Munich plant</v>
      </c>
      <c r="B416" s="2" t="str">
        <f xml:space="preserve"> _xll.EPMOlapMemberO("[PRDID].[].[999-70484-0010]","","999-70484-0010","","000")</f>
        <v>999-70484-0010</v>
      </c>
      <c r="C416" s="2" t="str">
        <f xml:space="preserve"> _xll.EPMOlapMemberO("[BRAND].[].[ L&amp;M]",""," L&amp;M","","000")</f>
        <v xml:space="preserve"> L&amp;M</v>
      </c>
      <c r="D416" s="2" t="str">
        <f xml:space="preserve"> _xll.EPMOlapMemberO("[AM2MARKETDESCR].[].[ISRAEL ]","","ISRAEL ","","000")</f>
        <v xml:space="preserve">ISRAEL </v>
      </c>
      <c r="E416" s="2" t="str">
        <f xml:space="preserve"> _xll.EPMOlapMemberO("[AM2PARENTCUSTGROUP].[].[Mondelez]","","Mondelez","","000")</f>
        <v>Mondelez</v>
      </c>
      <c r="F416" s="2" t="str">
        <f xml:space="preserve"> _xll.EPMOlapMemberO("[KEY_FIGURES].[].[AM2ORDERINTAKE]","","Sales Order","","000")</f>
        <v>Sales Order</v>
      </c>
      <c r="K416" s="2">
        <v>1965</v>
      </c>
    </row>
    <row r="417" spans="1:44" x14ac:dyDescent="0.35">
      <c r="A417" s="2" t="str">
        <f xml:space="preserve"> _xll.EPMOlapMemberO("[LOCID].[].[Munich plant]","","Munich plant","","000")</f>
        <v>Munich plant</v>
      </c>
      <c r="B417" s="2" t="str">
        <f xml:space="preserve"> _xll.EPMOlapMemberO("[PRDID].[].[999-70484-0010]","","999-70484-0010","","000")</f>
        <v>999-70484-0010</v>
      </c>
      <c r="C417" s="2" t="str">
        <f xml:space="preserve"> _xll.EPMOlapMemberO("[BRAND].[].[ L&amp;M]",""," L&amp;M","","000")</f>
        <v xml:space="preserve"> L&amp;M</v>
      </c>
      <c r="D417" s="2" t="str">
        <f xml:space="preserve"> _xll.EPMOlapMemberO("[AM2MARKETDESCR].[].[ISRAEL ]","","ISRAEL ","","000")</f>
        <v xml:space="preserve">ISRAEL </v>
      </c>
      <c r="E417" s="2" t="str">
        <f xml:space="preserve"> _xll.EPMOlapMemberO("[AM2PARENTCUSTGROUP].[].[Mondelez]","","Mondelez","","000")</f>
        <v>Mondelez</v>
      </c>
      <c r="F417" s="2" t="str">
        <f xml:space="preserve"> _xll.EPMOlapMemberO("[KEY_FIGURES].[].[AM2ACTUALSHIPMENTS]","","Shipments","","000")</f>
        <v>Shipments</v>
      </c>
      <c r="G417" s="2">
        <v>1232</v>
      </c>
      <c r="K417" s="2">
        <v>1344</v>
      </c>
      <c r="N417" s="2">
        <v>392</v>
      </c>
    </row>
    <row r="418" spans="1:44" x14ac:dyDescent="0.35">
      <c r="A418" s="2" t="str">
        <f xml:space="preserve"> _xll.EPMOlapMemberO("[LOCID].[].[Munich plant]","","Munich plant","","000")</f>
        <v>Munich plant</v>
      </c>
      <c r="B418" s="2" t="str">
        <f xml:space="preserve"> _xll.EPMOlapMemberO("[PRDID].[].[999-70484-0038]","","999-70484-0038","","000")</f>
        <v>999-70484-0038</v>
      </c>
      <c r="C418" s="2" t="str">
        <f xml:space="preserve"> _xll.EPMOlapMemberO("[BRAND].[].[ L&amp;M]",""," L&amp;M","","000")</f>
        <v xml:space="preserve"> L&amp;M</v>
      </c>
      <c r="D418" s="2" t="str">
        <f xml:space="preserve"> _xll.EPMOlapMemberO("[AM2MARKETDESCR].[].[ISRAEL ]","","ISRAEL ","","000")</f>
        <v xml:space="preserve">ISRAEL </v>
      </c>
      <c r="E418" s="2" t="str">
        <f xml:space="preserve"> _xll.EPMOlapMemberO("[AM2PARENTCUSTGROUP].[].[Mondelez]","","Mondelez","","000")</f>
        <v>Mondelez</v>
      </c>
      <c r="F418" s="2" t="str">
        <f xml:space="preserve"> _xll.EPMOlapMemberO("[KEY_FIGURES].[].[AM2ORDERINTAKE]","","Sales Order","","000")</f>
        <v>Sales Order</v>
      </c>
      <c r="O418" s="2">
        <v>1700</v>
      </c>
      <c r="U418" s="2">
        <v>1070</v>
      </c>
      <c r="AA418" s="2">
        <v>1096</v>
      </c>
    </row>
    <row r="419" spans="1:44" x14ac:dyDescent="0.35">
      <c r="A419" s="2" t="str">
        <f xml:space="preserve"> _xll.EPMOlapMemberO("[LOCID].[].[Munich plant]","","Munich plant","","000")</f>
        <v>Munich plant</v>
      </c>
      <c r="B419" s="2" t="str">
        <f xml:space="preserve"> _xll.EPMOlapMemberO("[PRDID].[].[999-70484-0038]","","999-70484-0038","","000")</f>
        <v>999-70484-0038</v>
      </c>
      <c r="C419" s="2" t="str">
        <f xml:space="preserve"> _xll.EPMOlapMemberO("[BRAND].[].[ L&amp;M]",""," L&amp;M","","000")</f>
        <v xml:space="preserve"> L&amp;M</v>
      </c>
      <c r="D419" s="2" t="str">
        <f xml:space="preserve"> _xll.EPMOlapMemberO("[AM2MARKETDESCR].[].[ISRAEL ]","","ISRAEL ","","000")</f>
        <v xml:space="preserve">ISRAEL </v>
      </c>
      <c r="E419" s="2" t="str">
        <f xml:space="preserve"> _xll.EPMOlapMemberO("[AM2PARENTCUSTGROUP].[].[Mondelez]","","Mondelez","","000")</f>
        <v>Mondelez</v>
      </c>
      <c r="F419" s="2" t="str">
        <f xml:space="preserve"> _xll.EPMOlapMemberO("[KEY_FIGURES].[].[AM2ACTUALSHIPMENTS]","","Shipments","","000")</f>
        <v>Shipments</v>
      </c>
      <c r="O419" s="2">
        <v>1128</v>
      </c>
      <c r="S419" s="2">
        <v>1056</v>
      </c>
      <c r="U419" s="2">
        <v>120</v>
      </c>
      <c r="V419" s="2">
        <v>1072</v>
      </c>
      <c r="Y419" s="2">
        <v>576</v>
      </c>
      <c r="Z419" s="2">
        <v>416</v>
      </c>
      <c r="AB419" s="2">
        <v>1096</v>
      </c>
    </row>
    <row r="420" spans="1:44" x14ac:dyDescent="0.35">
      <c r="A420" s="2" t="str">
        <f xml:space="preserve"> _xll.EPMOlapMemberO("[LOCID].[].[Munich plant]","","Munich plant","","000")</f>
        <v>Munich plant</v>
      </c>
      <c r="B420" s="2" t="str">
        <f xml:space="preserve"> _xll.EPMOlapMemberO("[PRDID].[].[999-70484-0041]","","999-70484-0041","","000")</f>
        <v>999-70484-0041</v>
      </c>
      <c r="C420" s="2" t="str">
        <f xml:space="preserve"> _xll.EPMOlapMemberO("[BRAND].[].[ L&amp;M]",""," L&amp;M","","000")</f>
        <v xml:space="preserve"> L&amp;M</v>
      </c>
      <c r="D420" s="2" t="str">
        <f xml:space="preserve"> _xll.EPMOlapMemberO("[AM2MARKETDESCR].[].[BELGIUM ESTIC]","","BELGIUM ESTIC","","000")</f>
        <v>BELGIUM ESTIC</v>
      </c>
      <c r="E420" s="2" t="str">
        <f xml:space="preserve"> _xll.EPMOlapMemberO("[AM2PARENTCUSTGROUP].[].[Mondelez]","","Mondelez","","000")</f>
        <v>Mondelez</v>
      </c>
      <c r="F420" s="2" t="str">
        <f xml:space="preserve"> _xll.EPMOlapMemberO("[KEY_FIGURES].[].[AM2ORDERINTAKE]","","Sales Order","","000")</f>
        <v>Sales Order</v>
      </c>
      <c r="V420" s="2">
        <v>1728</v>
      </c>
    </row>
    <row r="421" spans="1:44" x14ac:dyDescent="0.35">
      <c r="A421" s="2" t="str">
        <f xml:space="preserve"> _xll.EPMOlapMemberO("[LOCID].[].[Munich plant]","","Munich plant","","000")</f>
        <v>Munich plant</v>
      </c>
      <c r="B421" s="2" t="str">
        <f xml:space="preserve"> _xll.EPMOlapMemberO("[PRDID].[].[999-70484-0041]","","999-70484-0041","","000")</f>
        <v>999-70484-0041</v>
      </c>
      <c r="C421" s="2" t="str">
        <f xml:space="preserve"> _xll.EPMOlapMemberO("[BRAND].[].[ L&amp;M]",""," L&amp;M","","000")</f>
        <v xml:space="preserve"> L&amp;M</v>
      </c>
      <c r="D421" s="2" t="str">
        <f xml:space="preserve"> _xll.EPMOlapMemberO("[AM2MARKETDESCR].[].[BELGIUM ESTIC]","","BELGIUM ESTIC","","000")</f>
        <v>BELGIUM ESTIC</v>
      </c>
      <c r="E421" s="2" t="str">
        <f xml:space="preserve"> _xll.EPMOlapMemberO("[AM2PARENTCUSTGROUP].[].[Mondelez]","","Mondelez","","000")</f>
        <v>Mondelez</v>
      </c>
      <c r="F421" s="2" t="str">
        <f xml:space="preserve"> _xll.EPMOlapMemberO("[KEY_FIGURES].[].[AM2ACTUALSHIPMENTS]","","Shipments","","000")</f>
        <v>Shipments</v>
      </c>
      <c r="V421" s="2">
        <v>1729</v>
      </c>
    </row>
    <row r="422" spans="1:44" x14ac:dyDescent="0.35">
      <c r="A422" s="2" t="str">
        <f xml:space="preserve"> _xll.EPMOlapMemberO("[LOCID].[].[Munich plant]","","Munich plant","","000")</f>
        <v>Munich plant</v>
      </c>
      <c r="B422" s="2" t="str">
        <f xml:space="preserve"> _xll.EPMOlapMemberO("[PRDID].[].[999-70484-0047]","","999-70484-0047","","000")</f>
        <v>999-70484-0047</v>
      </c>
      <c r="C422" s="2" t="str">
        <f xml:space="preserve"> _xll.EPMOlapMemberO("[BRAND].[].[ L&amp;M]",""," L&amp;M","","000")</f>
        <v xml:space="preserve"> L&amp;M</v>
      </c>
      <c r="D422" s="2" t="str">
        <f xml:space="preserve"> _xll.EPMOlapMemberO("[AM2MARKETDESCR].[].[NETHERLANDS ]","","NETHERLANDS ","","000")</f>
        <v xml:space="preserve">NETHERLANDS </v>
      </c>
      <c r="E422" s="2" t="str">
        <f xml:space="preserve"> _xll.EPMOlapMemberO("[AM2PARENTCUSTGROUP].[].[Mondelez]","","Mondelez","","000")</f>
        <v>Mondelez</v>
      </c>
      <c r="F422" s="2" t="str">
        <f xml:space="preserve"> _xll.EPMOlapMemberO("[KEY_FIGURES].[].[AM2ORDERINTAKE]","","Sales Order","","000")</f>
        <v>Sales Order</v>
      </c>
      <c r="S422" s="2">
        <v>373.33333299999998</v>
      </c>
      <c r="Z422" s="2">
        <v>672</v>
      </c>
      <c r="AB422" s="2">
        <v>63</v>
      </c>
    </row>
    <row r="423" spans="1:44" x14ac:dyDescent="0.35">
      <c r="A423" s="2" t="str">
        <f xml:space="preserve"> _xll.EPMOlapMemberO("[LOCID].[].[Munich plant]","","Munich plant","","000")</f>
        <v>Munich plant</v>
      </c>
      <c r="B423" s="2" t="str">
        <f xml:space="preserve"> _xll.EPMOlapMemberO("[PRDID].[].[999-70484-0047]","","999-70484-0047","","000")</f>
        <v>999-70484-0047</v>
      </c>
      <c r="C423" s="2" t="str">
        <f xml:space="preserve"> _xll.EPMOlapMemberO("[BRAND].[].[ L&amp;M]",""," L&amp;M","","000")</f>
        <v xml:space="preserve"> L&amp;M</v>
      </c>
      <c r="D423" s="2" t="str">
        <f xml:space="preserve"> _xll.EPMOlapMemberO("[AM2MARKETDESCR].[].[NETHERLANDS ]","","NETHERLANDS ","","000")</f>
        <v xml:space="preserve">NETHERLANDS </v>
      </c>
      <c r="E423" s="2" t="str">
        <f xml:space="preserve"> _xll.EPMOlapMemberO("[AM2PARENTCUSTGROUP].[].[Mondelez]","","Mondelez","","000")</f>
        <v>Mondelez</v>
      </c>
      <c r="F423" s="2" t="str">
        <f xml:space="preserve"> _xll.EPMOlapMemberO("[KEY_FIGURES].[].[AM2ACTUALSHIPMENTS]","","Shipments","","000")</f>
        <v>Shipments</v>
      </c>
      <c r="S423" s="2">
        <v>840</v>
      </c>
      <c r="U423" s="2">
        <v>924</v>
      </c>
      <c r="Y423" s="2">
        <v>504</v>
      </c>
      <c r="Z423" s="2">
        <v>672</v>
      </c>
      <c r="AB423" s="2">
        <v>63</v>
      </c>
    </row>
    <row r="424" spans="1:44" x14ac:dyDescent="0.35">
      <c r="A424" s="2" t="str">
        <f xml:space="preserve"> _xll.EPMOlapMemberO("[LOCID].[].[Munich plant]","","Munich plant","","000")</f>
        <v>Munich plant</v>
      </c>
      <c r="B424" s="2" t="str">
        <f xml:space="preserve"> _xll.EPMOlapMemberO("[PRDID].[].[999-70484-0048]","","999-70484-0048","","000")</f>
        <v>999-70484-0048</v>
      </c>
      <c r="C424" s="2" t="str">
        <f xml:space="preserve"> _xll.EPMOlapMemberO("[BRAND].[].[ L&amp;M]",""," L&amp;M","","000")</f>
        <v xml:space="preserve"> L&amp;M</v>
      </c>
      <c r="D424" s="2" t="str">
        <f xml:space="preserve"> _xll.EPMOlapMemberO("[AM2MARKETDESCR].[].[BELGIUM ESTIC]","","BELGIUM ESTIC","","000")</f>
        <v>BELGIUM ESTIC</v>
      </c>
      <c r="E424" s="2" t="str">
        <f xml:space="preserve"> _xll.EPMOlapMemberO("[AM2PARENTCUSTGROUP].[].[Mondelez]","","Mondelez","","000")</f>
        <v>Mondelez</v>
      </c>
      <c r="F424" s="2" t="str">
        <f xml:space="preserve"> _xll.EPMOlapMemberO("[KEY_FIGURES].[].[AM2ORDERINTAKE]","","Sales Order","","000")</f>
        <v>Sales Order</v>
      </c>
      <c r="T424" s="2">
        <v>924</v>
      </c>
    </row>
    <row r="425" spans="1:44" x14ac:dyDescent="0.35">
      <c r="A425" s="2" t="str">
        <f xml:space="preserve"> _xll.EPMOlapMemberO("[LOCID].[].[Munich plant]","","Munich plant","","000")</f>
        <v>Munich plant</v>
      </c>
      <c r="B425" s="2" t="str">
        <f xml:space="preserve"> _xll.EPMOlapMemberO("[PRDID].[].[999-70484-0048]","","999-70484-0048","","000")</f>
        <v>999-70484-0048</v>
      </c>
      <c r="C425" s="2" t="str">
        <f xml:space="preserve"> _xll.EPMOlapMemberO("[BRAND].[].[ L&amp;M]",""," L&amp;M","","000")</f>
        <v xml:space="preserve"> L&amp;M</v>
      </c>
      <c r="D425" s="2" t="str">
        <f xml:space="preserve"> _xll.EPMOlapMemberO("[AM2MARKETDESCR].[].[BELGIUM ESTIC]","","BELGIUM ESTIC","","000")</f>
        <v>BELGIUM ESTIC</v>
      </c>
      <c r="E425" s="2" t="str">
        <f xml:space="preserve"> _xll.EPMOlapMemberO("[AM2PARENTCUSTGROUP].[].[Mondelez]","","Mondelez","","000")</f>
        <v>Mondelez</v>
      </c>
      <c r="F425" s="2" t="str">
        <f xml:space="preserve"> _xll.EPMOlapMemberO("[KEY_FIGURES].[].[AM2ACTUALSHIPMENTS]","","Shipments","","000")</f>
        <v>Shipments</v>
      </c>
      <c r="T425" s="2">
        <v>924</v>
      </c>
    </row>
    <row r="426" spans="1:44" x14ac:dyDescent="0.35">
      <c r="A426" s="2" t="str">
        <f xml:space="preserve"> _xll.EPMOlapMemberO("[LOCID].[].[Munich plant]","","Munich plant","","000")</f>
        <v>Munich plant</v>
      </c>
      <c r="B426" s="2" t="str">
        <f xml:space="preserve"> _xll.EPMOlapMemberO("[PRDID].[].[999-70484-0058]","","999-70484-0058","","000")</f>
        <v>999-70484-0058</v>
      </c>
      <c r="C426" s="2" t="str">
        <f xml:space="preserve"> _xll.EPMOlapMemberO("[BRAND].[].[ L&amp;M]",""," L&amp;M","","000")</f>
        <v xml:space="preserve"> L&amp;M</v>
      </c>
      <c r="D426" s="2" t="str">
        <f xml:space="preserve"> _xll.EPMOlapMemberO("[AM2MARKETDESCR].[].[BELGIUM ESTIC]","","BELGIUM ESTIC","","000")</f>
        <v>BELGIUM ESTIC</v>
      </c>
      <c r="E426" s="2" t="str">
        <f xml:space="preserve"> _xll.EPMOlapMemberO("[AM2PARENTCUSTGROUP].[].[Mondelez]","","Mondelez","","000")</f>
        <v>Mondelez</v>
      </c>
      <c r="F426" s="2" t="str">
        <f xml:space="preserve"> _xll.EPMOlapMemberO("[KEY_FIGURES].[].[AM2ORDERINTAKE]","","Sales Order","","000")</f>
        <v>Sales Order</v>
      </c>
      <c r="X426" s="2">
        <v>1764</v>
      </c>
    </row>
    <row r="427" spans="1:44" x14ac:dyDescent="0.35">
      <c r="A427" s="2" t="str">
        <f xml:space="preserve"> _xll.EPMOlapMemberO("[LOCID].[].[Munich plant]","","Munich plant","","000")</f>
        <v>Munich plant</v>
      </c>
      <c r="B427" s="2" t="str">
        <f xml:space="preserve"> _xll.EPMOlapMemberO("[PRDID].[].[999-70484-0058]","","999-70484-0058","","000")</f>
        <v>999-70484-0058</v>
      </c>
      <c r="C427" s="2" t="str">
        <f xml:space="preserve"> _xll.EPMOlapMemberO("[BRAND].[].[ L&amp;M]",""," L&amp;M","","000")</f>
        <v xml:space="preserve"> L&amp;M</v>
      </c>
      <c r="D427" s="2" t="str">
        <f xml:space="preserve"> _xll.EPMOlapMemberO("[AM2MARKETDESCR].[].[BELGIUM ESTIC]","","BELGIUM ESTIC","","000")</f>
        <v>BELGIUM ESTIC</v>
      </c>
      <c r="E427" s="2" t="str">
        <f xml:space="preserve"> _xll.EPMOlapMemberO("[AM2PARENTCUSTGROUP].[].[Mondelez]","","Mondelez","","000")</f>
        <v>Mondelez</v>
      </c>
      <c r="F427" s="2" t="str">
        <f xml:space="preserve"> _xll.EPMOlapMemberO("[KEY_FIGURES].[].[AM2ACTUALSHIPMENTS]","","Shipments","","000")</f>
        <v>Shipments</v>
      </c>
      <c r="X427" s="2">
        <v>1764</v>
      </c>
    </row>
    <row r="428" spans="1:44" x14ac:dyDescent="0.35">
      <c r="A428" s="2" t="str">
        <f xml:space="preserve"> _xll.EPMOlapMemberO("[LOCID].[].[Munich plant]","","Munich plant","","000")</f>
        <v>Munich plant</v>
      </c>
      <c r="B428" s="2" t="str">
        <f xml:space="preserve"> _xll.EPMOlapMemberO("[PRDID].[].[999-70484-0060]","","999-70484-0060","","000")</f>
        <v>999-70484-0060</v>
      </c>
      <c r="C428" s="2" t="str">
        <f xml:space="preserve"> _xll.EPMOlapMemberO("[BRAND].[].[ L&amp;M]",""," L&amp;M","","000")</f>
        <v xml:space="preserve"> L&amp;M</v>
      </c>
      <c r="D428" s="2" t="str">
        <f xml:space="preserve"> _xll.EPMOlapMemberO("[AM2MARKETDESCR].[].[NORWAY ]","","NORWAY ","","000")</f>
        <v xml:space="preserve">NORWAY </v>
      </c>
      <c r="E428" s="2" t="str">
        <f xml:space="preserve"> _xll.EPMOlapMemberO("[AM2PARENTCUSTGROUP].[].[Mondelez]","","Mondelez","","000")</f>
        <v>Mondelez</v>
      </c>
      <c r="F428" s="2" t="str">
        <f xml:space="preserve"> _xll.EPMOlapMemberO("[KEY_FIGURES].[].[AM2ORDERINTAKE]","","Sales Order","","000")</f>
        <v>Sales Order</v>
      </c>
      <c r="Z428" s="2">
        <v>665</v>
      </c>
    </row>
    <row r="429" spans="1:44" x14ac:dyDescent="0.35">
      <c r="A429" s="2" t="str">
        <f xml:space="preserve"> _xll.EPMOlapMemberO("[LOCID].[].[Munich plant]","","Munich plant","","000")</f>
        <v>Munich plant</v>
      </c>
      <c r="B429" s="2" t="str">
        <f xml:space="preserve"> _xll.EPMOlapMemberO("[PRDID].[].[999-70484-0060]","","999-70484-0060","","000")</f>
        <v>999-70484-0060</v>
      </c>
      <c r="C429" s="2" t="str">
        <f xml:space="preserve"> _xll.EPMOlapMemberO("[BRAND].[].[ L&amp;M]",""," L&amp;M","","000")</f>
        <v xml:space="preserve"> L&amp;M</v>
      </c>
      <c r="D429" s="2" t="str">
        <f xml:space="preserve"> _xll.EPMOlapMemberO("[AM2MARKETDESCR].[].[NORWAY ]","","NORWAY ","","000")</f>
        <v xml:space="preserve">NORWAY </v>
      </c>
      <c r="E429" s="2" t="str">
        <f xml:space="preserve"> _xll.EPMOlapMemberO("[AM2PARENTCUSTGROUP].[].[Mondelez]","","Mondelez","","000")</f>
        <v>Mondelez</v>
      </c>
      <c r="F429" s="2" t="str">
        <f xml:space="preserve"> _xll.EPMOlapMemberO("[KEY_FIGURES].[].[AM2ACTUALSHIPMENTS]","","Shipments","","000")</f>
        <v>Shipments</v>
      </c>
      <c r="O429" s="2">
        <v>56.479453999999997</v>
      </c>
      <c r="P429" s="2">
        <v>51.0137</v>
      </c>
      <c r="Q429" s="2">
        <v>56.479452999999999</v>
      </c>
      <c r="R429" s="2">
        <v>54.657533000000001</v>
      </c>
      <c r="S429" s="2">
        <v>56.479452000000002</v>
      </c>
      <c r="T429" s="2">
        <v>54.657536999999998</v>
      </c>
      <c r="U429" s="2">
        <v>56.479453999999997</v>
      </c>
      <c r="V429" s="2">
        <v>56.479453999999997</v>
      </c>
      <c r="W429" s="2">
        <v>54.657533000000001</v>
      </c>
      <c r="X429" s="2">
        <v>56.47945</v>
      </c>
      <c r="Z429" s="2">
        <v>665</v>
      </c>
    </row>
    <row r="430" spans="1:44" x14ac:dyDescent="0.35">
      <c r="A430" s="2" t="str">
        <f xml:space="preserve"> _xll.EPMOlapMemberO("[LOCID].[].[Munich plant]","","Munich plant","","000")</f>
        <v>Munich plant</v>
      </c>
      <c r="B430" s="2" t="str">
        <f xml:space="preserve"> _xll.EPMOlapMemberO("[PRDID].[].[999-70484-0061]","","999-70484-0061","","000")</f>
        <v>999-70484-0061</v>
      </c>
      <c r="C430" s="2" t="str">
        <f xml:space="preserve"> _xll.EPMOlapMemberO("[BRAND].[].[ L&amp;M]",""," L&amp;M","","000")</f>
        <v xml:space="preserve"> L&amp;M</v>
      </c>
      <c r="D430" s="2" t="str">
        <f xml:space="preserve"> _xll.EPMOlapMemberO("[AM2MARKETDESCR].[].[NORWAY ]","","NORWAY ","","000")</f>
        <v xml:space="preserve">NORWAY </v>
      </c>
      <c r="E430" s="2" t="str">
        <f xml:space="preserve"> _xll.EPMOlapMemberO("[AM2PARENTCUSTGROUP].[].[Mondelez]","","Mondelez","","000")</f>
        <v>Mondelez</v>
      </c>
      <c r="F430" s="2" t="str">
        <f xml:space="preserve"> _xll.EPMOlapMemberO("[KEY_FIGURES].[].[AM2ORDERINTAKE]","","Sales Order","","000")</f>
        <v>Sales Order</v>
      </c>
      <c r="Y430" s="2">
        <v>63</v>
      </c>
      <c r="Z430" s="2">
        <v>384</v>
      </c>
    </row>
    <row r="431" spans="1:44" x14ac:dyDescent="0.35">
      <c r="A431" s="2" t="str">
        <f xml:space="preserve"> _xll.EPMOlapMemberO("[LOCID].[].[Munich plant]","","Munich plant","","000")</f>
        <v>Munich plant</v>
      </c>
      <c r="B431" s="2" t="str">
        <f xml:space="preserve"> _xll.EPMOlapMemberO("[PRDID].[].[999-70484-0061]","","999-70484-0061","","000")</f>
        <v>999-70484-0061</v>
      </c>
      <c r="C431" s="2" t="str">
        <f xml:space="preserve"> _xll.EPMOlapMemberO("[BRAND].[].[ L&amp;M]",""," L&amp;M","","000")</f>
        <v xml:space="preserve"> L&amp;M</v>
      </c>
      <c r="D431" s="2" t="str">
        <f xml:space="preserve"> _xll.EPMOlapMemberO("[AM2MARKETDESCR].[].[NORWAY ]","","NORWAY ","","000")</f>
        <v xml:space="preserve">NORWAY </v>
      </c>
      <c r="E431" s="2" t="str">
        <f xml:space="preserve"> _xll.EPMOlapMemberO("[AM2PARENTCUSTGROUP].[].[Mondelez]","","Mondelez","","000")</f>
        <v>Mondelez</v>
      </c>
      <c r="F431" s="2" t="str">
        <f xml:space="preserve"> _xll.EPMOlapMemberO("[KEY_FIGURES].[].[AM2ACTUALSHIPMENTS]","","Shipments","","000")</f>
        <v>Shipments</v>
      </c>
      <c r="Y431" s="2">
        <v>63</v>
      </c>
      <c r="Z431" s="2">
        <v>385</v>
      </c>
    </row>
    <row r="432" spans="1:44" x14ac:dyDescent="0.35">
      <c r="A432" s="2" t="str">
        <f xml:space="preserve"> _xll.EPMOlapMemberO("[LOCID].[].[Munich plant]","","Munich plant","","000")</f>
        <v>Munich plant</v>
      </c>
      <c r="B432" s="2" t="str">
        <f xml:space="preserve"> _xll.EPMOlapMemberO("[PRDID].[].[999-70632-0089]","","999-70632-0089","","000")</f>
        <v>999-70632-0089</v>
      </c>
      <c r="C432" s="2" t="str">
        <f xml:space="preserve"> _xll.EPMOlapMemberO("[BRAND].[].[ GAULOISES BLONDES]",""," GAULOISES BLONDES","","000")</f>
        <v xml:space="preserve"> GAULOISES BLONDES</v>
      </c>
      <c r="D432" s="2" t="str">
        <f xml:space="preserve"> _xll.EPMOlapMemberO("[AM2MARKETDESCR].[].[HWDF]","","HWDF","","000")</f>
        <v>HWDF</v>
      </c>
      <c r="E432" s="2" t="str">
        <f xml:space="preserve"> _xll.EPMOlapMemberO("[AM2PARENTCUSTGROUP].[].[__NULL]","","(None)","","000")</f>
        <v>(None)</v>
      </c>
      <c r="F432" s="2" t="str">
        <f xml:space="preserve"> _xll.EPMOlapMemberO("[KEY_FIGURES].[].[CONFIRMEDPRODUCTION]","","Production Order","","000")</f>
        <v>Production Order</v>
      </c>
      <c r="AR432" s="2">
        <v>302.39999999999998</v>
      </c>
    </row>
    <row r="433" spans="1:52" x14ac:dyDescent="0.35">
      <c r="A433" s="2" t="str">
        <f xml:space="preserve"> _xll.EPMOlapMemberO("[LOCID].[].[Munich plant]","","Munich plant","","000")</f>
        <v>Munich plant</v>
      </c>
      <c r="B433" s="2" t="str">
        <f xml:space="preserve"> _xll.EPMOlapMemberO("[PRDID].[].[999-70632-0090]","","999-70632-0090","","000")</f>
        <v>999-70632-0090</v>
      </c>
      <c r="C433" s="2" t="str">
        <f xml:space="preserve"> _xll.EPMOlapMemberO("[BRAND].[].[ GAULOISES BLONDES]",""," GAULOISES BLONDES","","000")</f>
        <v xml:space="preserve"> GAULOISES BLONDES</v>
      </c>
      <c r="D433" s="2" t="str">
        <f xml:space="preserve"> _xll.EPMOlapMemberO("[AM2MARKETDESCR].[].[HWDF]","","HWDF","","000")</f>
        <v>HWDF</v>
      </c>
      <c r="E433" s="2" t="str">
        <f xml:space="preserve"> _xll.EPMOlapMemberO("[AM2PARENTCUSTGROUP].[].[__NULL]","","(None)","","000")</f>
        <v>(None)</v>
      </c>
      <c r="F433" s="2" t="str">
        <f xml:space="preserve"> _xll.EPMOlapMemberO("[KEY_FIGURES].[].[CONFIRMEDPRODUCTION]","","Production Order","","000")</f>
        <v>Production Order</v>
      </c>
      <c r="AR433" s="2">
        <v>302.39999999999998</v>
      </c>
    </row>
    <row r="434" spans="1:52" x14ac:dyDescent="0.35">
      <c r="A434" s="2" t="str">
        <f xml:space="preserve"> _xll.EPMOlapMemberO("[LOCID].[].[Munich plant]","","Munich plant","","000")</f>
        <v>Munich plant</v>
      </c>
      <c r="B434" s="2" t="str">
        <f xml:space="preserve"> _xll.EPMOlapMemberO("[PRDID].[].[999-70632-0132]","","999-70632-0132","","000")</f>
        <v>999-70632-0132</v>
      </c>
      <c r="C434" s="2" t="str">
        <f xml:space="preserve"> _xll.EPMOlapMemberO("[BRAND].[].[ GAULOISES BLONDES]",""," GAULOISES BLONDES","","000")</f>
        <v xml:space="preserve"> GAULOISES BLONDES</v>
      </c>
      <c r="D434" s="2" t="str">
        <f xml:space="preserve"> _xll.EPMOlapMemberO("[AM2MARKETDESCR].[].[AUSTRIA]","","AUSTRIA","","000")</f>
        <v>AUSTRIA</v>
      </c>
      <c r="E434" s="2" t="str">
        <f xml:space="preserve"> _xll.EPMOlapMemberO("[AM2PARENTCUSTGROUP].[].[__NULL]","","(None)","","000")</f>
        <v>(None)</v>
      </c>
      <c r="F434" s="2" t="str">
        <f xml:space="preserve"> _xll.EPMOlapMemberO("[KEY_FIGURES].[].[CONFIRMEDPRODUCTION]","","Production Order","","000")</f>
        <v>Production Order</v>
      </c>
      <c r="AU434" s="2">
        <v>40</v>
      </c>
      <c r="AY434" s="2">
        <v>10</v>
      </c>
    </row>
    <row r="435" spans="1:52" x14ac:dyDescent="0.35">
      <c r="A435" s="2" t="str">
        <f xml:space="preserve"> _xll.EPMOlapMemberO("[LOCID].[].[Munich plant]","","Munich plant","","000")</f>
        <v>Munich plant</v>
      </c>
      <c r="B435" s="2" t="str">
        <f xml:space="preserve"> _xll.EPMOlapMemberO("[PRDID].[].[999-70632-0141]","","999-70632-0141","","000")</f>
        <v>999-70632-0141</v>
      </c>
      <c r="C435" s="2" t="str">
        <f xml:space="preserve"> _xll.EPMOlapMemberO("[BRAND].[].[ GAULOISES BLONDES]",""," GAULOISES BLONDES","","000")</f>
        <v xml:space="preserve"> GAULOISES BLONDES</v>
      </c>
      <c r="D435" s="2" t="str">
        <f xml:space="preserve"> _xll.EPMOlapMemberO("[AM2MARKETDESCR].[].[HWDF]","","HWDF","","000")</f>
        <v>HWDF</v>
      </c>
      <c r="E435" s="2" t="str">
        <f xml:space="preserve"> _xll.EPMOlapMemberO("[AM2PARENTCUSTGROUP].[].[__NULL]","","(None)","","000")</f>
        <v>(None)</v>
      </c>
      <c r="F435" s="2" t="str">
        <f xml:space="preserve"> _xll.EPMOlapMemberO("[KEY_FIGURES].[].[CONFIRMEDPRODUCTION]","","Production Order","","000")</f>
        <v>Production Order</v>
      </c>
      <c r="AT435" s="2">
        <v>630</v>
      </c>
      <c r="AW435" s="2">
        <v>665</v>
      </c>
      <c r="AZ435" s="2">
        <v>670</v>
      </c>
    </row>
    <row r="436" spans="1:52" x14ac:dyDescent="0.35">
      <c r="A436" s="2" t="str">
        <f xml:space="preserve"> _xll.EPMOlapMemberO("[LOCID].[].[Munich plant]","","Munich plant","","000")</f>
        <v>Munich plant</v>
      </c>
      <c r="B436" s="2" t="str">
        <f xml:space="preserve"> _xll.EPMOlapMemberO("[PRDID].[].[999-70632-0143]","","999-70632-0143","","000")</f>
        <v>999-70632-0143</v>
      </c>
      <c r="C436" s="2" t="str">
        <f xml:space="preserve"> _xll.EPMOlapMemberO("[BRAND].[].[ GAULOISES BLONDES]",""," GAULOISES BLONDES","","000")</f>
        <v xml:space="preserve"> GAULOISES BLONDES</v>
      </c>
      <c r="D436" s="2" t="str">
        <f xml:space="preserve"> _xll.EPMOlapMemberO("[AM2MARKETDESCR].[].[HWDF]","","HWDF","","000")</f>
        <v>HWDF</v>
      </c>
      <c r="E436" s="2" t="str">
        <f xml:space="preserve"> _xll.EPMOlapMemberO("[AM2PARENTCUSTGROUP].[].[__NULL]","","(None)","","000")</f>
        <v>(None)</v>
      </c>
      <c r="F436" s="2" t="str">
        <f xml:space="preserve"> _xll.EPMOlapMemberO("[KEY_FIGURES].[].[INITIALINVENTORY]","","Stock","","000")</f>
        <v>Stock</v>
      </c>
      <c r="AQ436" s="2">
        <v>324</v>
      </c>
    </row>
    <row r="437" spans="1:52" x14ac:dyDescent="0.35">
      <c r="A437" s="2" t="str">
        <f xml:space="preserve"> _xll.EPMOlapMemberO("[LOCID].[].[Munich plant]","","Munich plant","","000")</f>
        <v>Munich plant</v>
      </c>
      <c r="B437" s="2" t="str">
        <f xml:space="preserve"> _xll.EPMOlapMemberO("[PRDID].[].[999-70632-0143]","","999-70632-0143","","000")</f>
        <v>999-70632-0143</v>
      </c>
      <c r="C437" s="2" t="str">
        <f xml:space="preserve"> _xll.EPMOlapMemberO("[BRAND].[].[ GAULOISES BLONDES]",""," GAULOISES BLONDES","","000")</f>
        <v xml:space="preserve"> GAULOISES BLONDES</v>
      </c>
      <c r="D437" s="2" t="str">
        <f xml:space="preserve"> _xll.EPMOlapMemberO("[AM2MARKETDESCR].[].[HWDF]","","HWDF","","000")</f>
        <v>HWDF</v>
      </c>
      <c r="E437" s="2" t="str">
        <f xml:space="preserve"> _xll.EPMOlapMemberO("[AM2PARENTCUSTGROUP].[].[__NULL]","","(None)","","000")</f>
        <v>(None)</v>
      </c>
      <c r="F437" s="2" t="str">
        <f xml:space="preserve"> _xll.EPMOlapMemberO("[KEY_FIGURES].[].[CONFIRMEDPRODUCTION]","","Production Order","","000")</f>
        <v>Production Order</v>
      </c>
      <c r="AT437" s="2">
        <v>535</v>
      </c>
      <c r="AW437" s="2">
        <v>615</v>
      </c>
      <c r="AZ437" s="2">
        <v>635</v>
      </c>
    </row>
    <row r="438" spans="1:52" x14ac:dyDescent="0.35">
      <c r="A438" s="2" t="str">
        <f xml:space="preserve"> _xll.EPMOlapMemberO("[LOCID].[].[Munich plant]","","Munich plant","","000")</f>
        <v>Munich plant</v>
      </c>
      <c r="B438" s="2" t="str">
        <f xml:space="preserve"> _xll.EPMOlapMemberO("[PRDID].[].[999-70632-0144]","","999-70632-0144","","000")</f>
        <v>999-70632-0144</v>
      </c>
      <c r="C438" s="2" t="str">
        <f xml:space="preserve"> _xll.EPMOlapMemberO("[BRAND].[].[ GAULOISES BLONDES]",""," GAULOISES BLONDES","","000")</f>
        <v xml:space="preserve"> GAULOISES BLONDES</v>
      </c>
      <c r="D438" s="2" t="str">
        <f xml:space="preserve"> _xll.EPMOlapMemberO("[AM2MARKETDESCR].[].[HWDF]","","HWDF","","000")</f>
        <v>HWDF</v>
      </c>
      <c r="E438" s="2" t="str">
        <f xml:space="preserve"> _xll.EPMOlapMemberO("[AM2PARENTCUSTGROUP].[].[__NULL]","","(None)","","000")</f>
        <v>(None)</v>
      </c>
      <c r="F438" s="2" t="str">
        <f xml:space="preserve"> _xll.EPMOlapMemberO("[KEY_FIGURES].[].[CONFIRMEDPRODUCTION]","","Production Order","","000")</f>
        <v>Production Order</v>
      </c>
      <c r="AT438" s="2">
        <v>60</v>
      </c>
      <c r="AW438" s="2">
        <v>60</v>
      </c>
      <c r="AZ438" s="2">
        <v>50</v>
      </c>
    </row>
    <row r="439" spans="1:52" x14ac:dyDescent="0.35">
      <c r="A439" s="2" t="str">
        <f xml:space="preserve"> _xll.EPMOlapMemberO("[LOCID].[].[Munich plant]","","Munich plant","","000")</f>
        <v>Munich plant</v>
      </c>
      <c r="B439" s="2" t="str">
        <f xml:space="preserve"> _xll.EPMOlapMemberO("[PRDID].[].[999-70632-0145]","","999-70632-0145","","000")</f>
        <v>999-70632-0145</v>
      </c>
      <c r="C439" s="2" t="str">
        <f xml:space="preserve"> _xll.EPMOlapMemberO("[BRAND].[].[ GAULOISES BLONDES]",""," GAULOISES BLONDES","","000")</f>
        <v xml:space="preserve"> GAULOISES BLONDES</v>
      </c>
      <c r="D439" s="2" t="str">
        <f xml:space="preserve"> _xll.EPMOlapMemberO("[AM2MARKETDESCR].[].[SPAIN]","","SPAIN","","000")</f>
        <v>SPAIN</v>
      </c>
      <c r="E439" s="2" t="str">
        <f xml:space="preserve"> _xll.EPMOlapMemberO("[AM2PARENTCUSTGROUP].[].[__NULL]","","(None)","","000")</f>
        <v>(None)</v>
      </c>
      <c r="F439" s="2" t="str">
        <f xml:space="preserve"> _xll.EPMOlapMemberO("[KEY_FIGURES].[].[CONFIRMEDPRODUCTION]","","Production Order","","000")</f>
        <v>Production Order</v>
      </c>
      <c r="AR439" s="2">
        <v>245</v>
      </c>
      <c r="AU439" s="2">
        <v>85</v>
      </c>
      <c r="AZ439" s="2">
        <v>85</v>
      </c>
    </row>
    <row r="440" spans="1:52" x14ac:dyDescent="0.35">
      <c r="A440" s="2" t="str">
        <f xml:space="preserve"> _xll.EPMOlapMemberO("[LOCID].[].[Munich plant]","","Munich plant","","000")</f>
        <v>Munich plant</v>
      </c>
      <c r="B440" s="2" t="str">
        <f xml:space="preserve"> _xll.EPMOlapMemberO("[PRDID].[].[999-70632-0146]","","999-70632-0146","","000")</f>
        <v>999-70632-0146</v>
      </c>
      <c r="C440" s="2" t="str">
        <f xml:space="preserve"> _xll.EPMOlapMemberO("[BRAND].[].[ GAULOISES BLONDES]",""," GAULOISES BLONDES","","000")</f>
        <v xml:space="preserve"> GAULOISES BLONDES</v>
      </c>
      <c r="D440" s="2" t="str">
        <f xml:space="preserve"> _xll.EPMOlapMemberO("[AM2MARKETDESCR].[].[AUSTRIA]","","AUSTRIA","","000")</f>
        <v>AUSTRIA</v>
      </c>
      <c r="E440" s="2" t="str">
        <f xml:space="preserve"> _xll.EPMOlapMemberO("[AM2PARENTCUSTGROUP].[].[__NULL]","","(None)","","000")</f>
        <v>(None)</v>
      </c>
      <c r="F440" s="2" t="str">
        <f xml:space="preserve"> _xll.EPMOlapMemberO("[KEY_FIGURES].[].[CONFIRMEDPRODUCTION]","","Production Order","","000")</f>
        <v>Production Order</v>
      </c>
      <c r="AS440" s="2">
        <v>2087.857</v>
      </c>
      <c r="AV440" s="2">
        <v>1455</v>
      </c>
      <c r="AY440" s="2">
        <v>1375</v>
      </c>
    </row>
    <row r="441" spans="1:52" x14ac:dyDescent="0.35">
      <c r="A441" s="2" t="str">
        <f xml:space="preserve"> _xll.EPMOlapMemberO("[LOCID].[].[Munich plant]","","Munich plant","","000")</f>
        <v>Munich plant</v>
      </c>
      <c r="B441" s="2" t="str">
        <f xml:space="preserve"> _xll.EPMOlapMemberO("[PRDID].[].[999-70633-0008]","","999-70633-0008","","000")</f>
        <v>999-70633-0008</v>
      </c>
      <c r="C441" s="2" t="str">
        <f xml:space="preserve"> _xll.EPMOlapMemberO("[BRAND].[].[ GAULOISES BLONDES]",""," GAULOISES BLONDES","","000")</f>
        <v xml:space="preserve"> GAULOISES BLONDES</v>
      </c>
      <c r="D441" s="2" t="str">
        <f xml:space="preserve"> _xll.EPMOlapMemberO("[AM2MARKETDESCR].[].[AUSTRIA]","","AUSTRIA","","000")</f>
        <v>AUSTRIA</v>
      </c>
      <c r="E441" s="2" t="str">
        <f xml:space="preserve"> _xll.EPMOlapMemberO("[AM2PARENTCUSTGROUP].[].[__NULL]","","(None)","","000")</f>
        <v>(None)</v>
      </c>
      <c r="F441" s="2" t="str">
        <f xml:space="preserve"> _xll.EPMOlapMemberO("[KEY_FIGURES].[].[CONFIRMEDPRODUCTION]","","Production Order","","000")</f>
        <v>Production Order</v>
      </c>
      <c r="AU441" s="2">
        <v>159.5</v>
      </c>
      <c r="AY441" s="2">
        <v>232</v>
      </c>
    </row>
    <row r="442" spans="1:52" x14ac:dyDescent="0.35">
      <c r="A442" s="2" t="str">
        <f xml:space="preserve"> _xll.EPMOlapMemberO("[LOCID].[].[Munich plant]","","Munich plant","","000")</f>
        <v>Munich plant</v>
      </c>
      <c r="B442" s="2" t="str">
        <f xml:space="preserve"> _xll.EPMOlapMemberO("[PRDID].[].[999-71000-0020]","","999-71000-0020","","000")</f>
        <v>999-71000-0020</v>
      </c>
      <c r="C442" s="2" t="str">
        <f xml:space="preserve"> _xll.EPMOlapMemberO("[BRAND].[].[ LARK]",""," LARK","","000")</f>
        <v xml:space="preserve"> LARK</v>
      </c>
      <c r="D442" s="2" t="str">
        <f xml:space="preserve"> _xll.EPMOlapMemberO("[AM2MARKETDESCR].[].[JAPAN ]","","JAPAN ","","000")</f>
        <v xml:space="preserve">JAPAN </v>
      </c>
      <c r="E442" s="2" t="str">
        <f xml:space="preserve"> _xll.EPMOlapMemberO("[AM2PARENTCUSTGROUP].[].[Mondelez]","","Mondelez","","000")</f>
        <v>Mondelez</v>
      </c>
      <c r="F442" s="2" t="str">
        <f xml:space="preserve"> _xll.EPMOlapMemberO("[KEY_FIGURES].[].[AM2ORDERINTAKE]","","Sales Order","","000")</f>
        <v>Sales Order</v>
      </c>
      <c r="K442" s="2">
        <v>540</v>
      </c>
      <c r="M442" s="2">
        <v>940</v>
      </c>
      <c r="N442" s="2">
        <v>730</v>
      </c>
      <c r="O442" s="2">
        <v>320</v>
      </c>
      <c r="S442" s="2">
        <v>160</v>
      </c>
    </row>
    <row r="443" spans="1:52" x14ac:dyDescent="0.35">
      <c r="A443" s="2" t="str">
        <f xml:space="preserve"> _xll.EPMOlapMemberO("[LOCID].[].[Munich plant]","","Munich plant","","000")</f>
        <v>Munich plant</v>
      </c>
      <c r="B443" s="2" t="str">
        <f xml:space="preserve"> _xll.EPMOlapMemberO("[PRDID].[].[999-71000-0020]","","999-71000-0020","","000")</f>
        <v>999-71000-0020</v>
      </c>
      <c r="C443" s="2" t="str">
        <f xml:space="preserve"> _xll.EPMOlapMemberO("[BRAND].[].[ LARK]",""," LARK","","000")</f>
        <v xml:space="preserve"> LARK</v>
      </c>
      <c r="D443" s="2" t="str">
        <f xml:space="preserve"> _xll.EPMOlapMemberO("[AM2MARKETDESCR].[].[JAPAN ]","","JAPAN ","","000")</f>
        <v xml:space="preserve">JAPAN </v>
      </c>
      <c r="E443" s="2" t="str">
        <f xml:space="preserve"> _xll.EPMOlapMemberO("[AM2PARENTCUSTGROUP].[].[Mondelez]","","Mondelez","","000")</f>
        <v>Mondelez</v>
      </c>
      <c r="F443" s="2" t="str">
        <f xml:space="preserve"> _xll.EPMOlapMemberO("[KEY_FIGURES].[].[AM2ACTUALSHIPMENTS]","","Shipments","","000")</f>
        <v>Shipments</v>
      </c>
      <c r="G443" s="2">
        <v>864</v>
      </c>
      <c r="H443" s="2">
        <v>1248</v>
      </c>
      <c r="I443" s="2">
        <v>1752</v>
      </c>
      <c r="L443" s="2">
        <v>1008</v>
      </c>
      <c r="N443" s="2">
        <v>1160</v>
      </c>
      <c r="O443" s="2">
        <v>320</v>
      </c>
      <c r="S443" s="2">
        <v>160</v>
      </c>
    </row>
    <row r="444" spans="1:52" x14ac:dyDescent="0.35">
      <c r="A444" s="2" t="str">
        <f xml:space="preserve"> _xll.EPMOlapMemberO("[LOCID].[].[Munich plant]","","Munich plant","","000")</f>
        <v>Munich plant</v>
      </c>
      <c r="B444" s="2" t="str">
        <f xml:space="preserve"> _xll.EPMOlapMemberO("[PRDID].[].[999-71000-0021]","","999-71000-0021","","000")</f>
        <v>999-71000-0021</v>
      </c>
      <c r="C444" s="2" t="str">
        <f xml:space="preserve"> _xll.EPMOlapMemberO("[BRAND].[].[ LARK]",""," LARK","","000")</f>
        <v xml:space="preserve"> LARK</v>
      </c>
      <c r="D444" s="2" t="str">
        <f xml:space="preserve"> _xll.EPMOlapMemberO("[AM2MARKETDESCR].[].[JAPAN ]","","JAPAN ","","000")</f>
        <v xml:space="preserve">JAPAN </v>
      </c>
      <c r="E444" s="2" t="str">
        <f xml:space="preserve"> _xll.EPMOlapMemberO("[AM2PARENTCUSTGROUP].[].[Mondelez]","","Mondelez","","000")</f>
        <v>Mondelez</v>
      </c>
      <c r="F444" s="2" t="str">
        <f xml:space="preserve"> _xll.EPMOlapMemberO("[KEY_FIGURES].[].[AM2ORDERINTAKE]","","Sales Order","","000")</f>
        <v>Sales Order</v>
      </c>
      <c r="I444" s="2">
        <v>2540</v>
      </c>
      <c r="O444" s="2">
        <v>865</v>
      </c>
      <c r="T444" s="2">
        <v>375</v>
      </c>
    </row>
    <row r="445" spans="1:52" x14ac:dyDescent="0.35">
      <c r="A445" s="2" t="str">
        <f xml:space="preserve"> _xll.EPMOlapMemberO("[LOCID].[].[Munich plant]","","Munich plant","","000")</f>
        <v>Munich plant</v>
      </c>
      <c r="B445" s="2" t="str">
        <f xml:space="preserve"> _xll.EPMOlapMemberO("[PRDID].[].[999-71000-0021]","","999-71000-0021","","000")</f>
        <v>999-71000-0021</v>
      </c>
      <c r="C445" s="2" t="str">
        <f xml:space="preserve"> _xll.EPMOlapMemberO("[BRAND].[].[ LARK]",""," LARK","","000")</f>
        <v xml:space="preserve"> LARK</v>
      </c>
      <c r="D445" s="2" t="str">
        <f xml:space="preserve"> _xll.EPMOlapMemberO("[AM2MARKETDESCR].[].[JAPAN ]","","JAPAN ","","000")</f>
        <v xml:space="preserve">JAPAN </v>
      </c>
      <c r="E445" s="2" t="str">
        <f xml:space="preserve"> _xll.EPMOlapMemberO("[AM2PARENTCUSTGROUP].[].[Mondelez]","","Mondelez","","000")</f>
        <v>Mondelez</v>
      </c>
      <c r="F445" s="2" t="str">
        <f xml:space="preserve"> _xll.EPMOlapMemberO("[KEY_FIGURES].[].[AM2ACTUALSHIPMENTS]","","Shipments","","000")</f>
        <v>Shipments</v>
      </c>
      <c r="I445" s="2">
        <v>960</v>
      </c>
      <c r="J445" s="2">
        <v>480</v>
      </c>
      <c r="K445" s="2">
        <v>576</v>
      </c>
      <c r="L445" s="2">
        <v>504</v>
      </c>
      <c r="O445" s="2">
        <v>872</v>
      </c>
      <c r="V445" s="2">
        <v>280</v>
      </c>
      <c r="X445" s="2">
        <v>96</v>
      </c>
    </row>
    <row r="446" spans="1:52" x14ac:dyDescent="0.35">
      <c r="A446" s="2" t="str">
        <f xml:space="preserve"> _xll.EPMOlapMemberO("[LOCID].[].[Munich plant]","","Munich plant","","000")</f>
        <v>Munich plant</v>
      </c>
      <c r="B446" s="2" t="str">
        <f xml:space="preserve"> _xll.EPMOlapMemberO("[PRDID].[].[999-71000-0022]","","999-71000-0022","","000")</f>
        <v>999-71000-0022</v>
      </c>
      <c r="C446" s="2" t="str">
        <f xml:space="preserve"> _xll.EPMOlapMemberO("[BRAND].[].[ LARK]",""," LARK","","000")</f>
        <v xml:space="preserve"> LARK</v>
      </c>
      <c r="D446" s="2" t="str">
        <f xml:space="preserve"> _xll.EPMOlapMemberO("[AM2MARKETDESCR].[].[JAPAN ]","","JAPAN ","","000")</f>
        <v xml:space="preserve">JAPAN </v>
      </c>
      <c r="E446" s="2" t="str">
        <f xml:space="preserve"> _xll.EPMOlapMemberO("[AM2PARENTCUSTGROUP].[].[Mondelez]","","Mondelez","","000")</f>
        <v>Mondelez</v>
      </c>
      <c r="F446" s="2" t="str">
        <f xml:space="preserve"> _xll.EPMOlapMemberO("[KEY_FIGURES].[].[AM2ORDERINTAKE]","","Sales Order","","000")</f>
        <v>Sales Order</v>
      </c>
      <c r="I446" s="2">
        <v>3890</v>
      </c>
      <c r="O446" s="2">
        <v>1235</v>
      </c>
      <c r="P446" s="2">
        <v>530</v>
      </c>
      <c r="S446" s="2">
        <v>140</v>
      </c>
    </row>
    <row r="447" spans="1:52" x14ac:dyDescent="0.35">
      <c r="A447" s="2" t="str">
        <f xml:space="preserve"> _xll.EPMOlapMemberO("[LOCID].[].[Munich plant]","","Munich plant","","000")</f>
        <v>Munich plant</v>
      </c>
      <c r="B447" s="2" t="str">
        <f xml:space="preserve"> _xll.EPMOlapMemberO("[PRDID].[].[999-71000-0022]","","999-71000-0022","","000")</f>
        <v>999-71000-0022</v>
      </c>
      <c r="C447" s="2" t="str">
        <f xml:space="preserve"> _xll.EPMOlapMemberO("[BRAND].[].[ LARK]",""," LARK","","000")</f>
        <v xml:space="preserve"> LARK</v>
      </c>
      <c r="D447" s="2" t="str">
        <f xml:space="preserve"> _xll.EPMOlapMemberO("[AM2MARKETDESCR].[].[JAPAN ]","","JAPAN ","","000")</f>
        <v xml:space="preserve">JAPAN </v>
      </c>
      <c r="E447" s="2" t="str">
        <f xml:space="preserve"> _xll.EPMOlapMemberO("[AM2PARENTCUSTGROUP].[].[Mondelez]","","Mondelez","","000")</f>
        <v>Mondelez</v>
      </c>
      <c r="F447" s="2" t="str">
        <f xml:space="preserve"> _xll.EPMOlapMemberO("[KEY_FIGURES].[].[AM2ACTUALSHIPMENTS]","","Shipments","","000")</f>
        <v>Shipments</v>
      </c>
      <c r="G447" s="2">
        <v>200</v>
      </c>
      <c r="I447" s="2">
        <v>960</v>
      </c>
      <c r="J447" s="2">
        <v>1152</v>
      </c>
      <c r="L447" s="2">
        <v>1784</v>
      </c>
      <c r="O447" s="2">
        <v>1240</v>
      </c>
      <c r="P447" s="2">
        <v>528</v>
      </c>
      <c r="S447" s="2">
        <v>144</v>
      </c>
    </row>
    <row r="448" spans="1:52" x14ac:dyDescent="0.35">
      <c r="A448" s="2" t="str">
        <f xml:space="preserve"> _xll.EPMOlapMemberO("[LOCID].[].[Munich plant]","","Munich plant","","000")</f>
        <v>Munich plant</v>
      </c>
      <c r="B448" s="2" t="str">
        <f xml:space="preserve"> _xll.EPMOlapMemberO("[PRDID].[].[999-71000-0023]","","999-71000-0023","","000")</f>
        <v>999-71000-0023</v>
      </c>
      <c r="C448" s="2" t="str">
        <f xml:space="preserve"> _xll.EPMOlapMemberO("[BRAND].[].[ LARK]",""," LARK","","000")</f>
        <v xml:space="preserve"> LARK</v>
      </c>
      <c r="D448" s="2" t="str">
        <f xml:space="preserve"> _xll.EPMOlapMemberO("[AM2MARKETDESCR].[].[JAPAN ]","","JAPAN ","","000")</f>
        <v xml:space="preserve">JAPAN </v>
      </c>
      <c r="E448" s="2" t="str">
        <f xml:space="preserve"> _xll.EPMOlapMemberO("[AM2PARENTCUSTGROUP].[].[Mondelez]","","Mondelez","","000")</f>
        <v>Mondelez</v>
      </c>
      <c r="F448" s="2" t="str">
        <f xml:space="preserve"> _xll.EPMOlapMemberO("[KEY_FIGURES].[].[AM2ORDERINTAKE]","","Sales Order","","000")</f>
        <v>Sales Order</v>
      </c>
      <c r="H448" s="2">
        <v>4989</v>
      </c>
      <c r="I448" s="2">
        <v>5299.2</v>
      </c>
      <c r="K448" s="2">
        <v>8097.12</v>
      </c>
      <c r="L448" s="2">
        <v>135</v>
      </c>
      <c r="M448" s="2">
        <v>7017.68</v>
      </c>
      <c r="N448" s="2">
        <v>2296.3200000000002</v>
      </c>
      <c r="P448" s="2">
        <v>6447.36</v>
      </c>
      <c r="Q448" s="2">
        <v>3149.5</v>
      </c>
      <c r="S448" s="2">
        <v>706.56</v>
      </c>
      <c r="T448" s="2">
        <v>209.977745</v>
      </c>
      <c r="U448" s="2">
        <v>5210.88</v>
      </c>
      <c r="Z448" s="2">
        <v>225</v>
      </c>
    </row>
    <row r="449" spans="1:35" x14ac:dyDescent="0.35">
      <c r="A449" s="2" t="str">
        <f xml:space="preserve"> _xll.EPMOlapMemberO("[LOCID].[].[Munich plant]","","Munich plant","","000")</f>
        <v>Munich plant</v>
      </c>
      <c r="B449" s="2" t="str">
        <f xml:space="preserve"> _xll.EPMOlapMemberO("[PRDID].[].[999-71000-0023]","","999-71000-0023","","000")</f>
        <v>999-71000-0023</v>
      </c>
      <c r="C449" s="2" t="str">
        <f xml:space="preserve"> _xll.EPMOlapMemberO("[BRAND].[].[ LARK]",""," LARK","","000")</f>
        <v xml:space="preserve"> LARK</v>
      </c>
      <c r="D449" s="2" t="str">
        <f xml:space="preserve"> _xll.EPMOlapMemberO("[AM2MARKETDESCR].[].[JAPAN ]","","JAPAN ","","000")</f>
        <v xml:space="preserve">JAPAN </v>
      </c>
      <c r="E449" s="2" t="str">
        <f xml:space="preserve"> _xll.EPMOlapMemberO("[AM2PARENTCUSTGROUP].[].[Mondelez]","","Mondelez","","000")</f>
        <v>Mondelez</v>
      </c>
      <c r="F449" s="2" t="str">
        <f xml:space="preserve"> _xll.EPMOlapMemberO("[KEY_FIGURES].[].[AM2ACTUALSHIPMENTS]","","Shipments","","000")</f>
        <v>Shipments</v>
      </c>
      <c r="G449" s="2">
        <v>2266.88</v>
      </c>
      <c r="I449" s="2">
        <v>6224.64</v>
      </c>
      <c r="J449" s="2">
        <v>1152</v>
      </c>
      <c r="K449" s="2">
        <v>6640</v>
      </c>
      <c r="L449" s="2">
        <v>3138.88</v>
      </c>
      <c r="M449" s="2">
        <v>3160.32</v>
      </c>
      <c r="N449" s="2">
        <v>2212.48</v>
      </c>
      <c r="O449" s="2">
        <v>2472.96</v>
      </c>
      <c r="P449" s="2">
        <v>4592.6400000000003</v>
      </c>
      <c r="Q449" s="2">
        <v>4990.08</v>
      </c>
      <c r="S449" s="2">
        <v>706.56</v>
      </c>
      <c r="U449" s="2">
        <v>2016.64</v>
      </c>
      <c r="V449" s="2">
        <v>2511.36</v>
      </c>
      <c r="W449" s="2">
        <v>1820.16</v>
      </c>
      <c r="X449" s="2">
        <v>2877.44</v>
      </c>
      <c r="Y449" s="2">
        <v>3253.12</v>
      </c>
      <c r="Z449" s="2">
        <v>232</v>
      </c>
      <c r="AB449" s="2">
        <v>1575.04</v>
      </c>
    </row>
    <row r="450" spans="1:35" x14ac:dyDescent="0.35">
      <c r="A450" s="2" t="str">
        <f xml:space="preserve"> _xll.EPMOlapMemberO("[LOCID].[].[Munich plant]","","Munich plant","","000")</f>
        <v>Munich plant</v>
      </c>
      <c r="B450" s="2" t="str">
        <f xml:space="preserve"> _xll.EPMOlapMemberO("[PRDID].[].[999-71000-0024]","","999-71000-0024","","000")</f>
        <v>999-71000-0024</v>
      </c>
      <c r="C450" s="2" t="str">
        <f xml:space="preserve"> _xll.EPMOlapMemberO("[BRAND].[].[ LARK]",""," LARK","","000")</f>
        <v xml:space="preserve"> LARK</v>
      </c>
      <c r="D450" s="2" t="str">
        <f xml:space="preserve"> _xll.EPMOlapMemberO("[AM2MARKETDESCR].[].[JAPAN ]","","JAPAN ","","000")</f>
        <v xml:space="preserve">JAPAN </v>
      </c>
      <c r="E450" s="2" t="str">
        <f xml:space="preserve"> _xll.EPMOlapMemberO("[AM2PARENTCUSTGROUP].[].[Mondelez]","","Mondelez","","000")</f>
        <v>Mondelez</v>
      </c>
      <c r="F450" s="2" t="str">
        <f xml:space="preserve"> _xll.EPMOlapMemberO("[KEY_FIGURES].[].[AM2ORDERINTAKE]","","Sales Order","","000")</f>
        <v>Sales Order</v>
      </c>
      <c r="H450" s="2">
        <v>5690</v>
      </c>
      <c r="I450" s="2">
        <v>2920</v>
      </c>
      <c r="J450" s="2">
        <v>6885</v>
      </c>
      <c r="M450" s="2">
        <v>7400</v>
      </c>
      <c r="P450" s="2">
        <v>1640</v>
      </c>
      <c r="Q450" s="2">
        <v>2690</v>
      </c>
      <c r="S450" s="2">
        <v>4810</v>
      </c>
      <c r="T450" s="2">
        <v>4435</v>
      </c>
      <c r="U450" s="2">
        <v>1740</v>
      </c>
      <c r="V450" s="2">
        <v>3910</v>
      </c>
      <c r="X450" s="2">
        <v>1500</v>
      </c>
      <c r="Y450" s="2">
        <v>2510</v>
      </c>
      <c r="AA450" s="2">
        <v>7392</v>
      </c>
    </row>
    <row r="451" spans="1:35" x14ac:dyDescent="0.35">
      <c r="A451" s="2" t="str">
        <f xml:space="preserve"> _xll.EPMOlapMemberO("[LOCID].[].[Munich plant]","","Munich plant","","000")</f>
        <v>Munich plant</v>
      </c>
      <c r="B451" s="2" t="str">
        <f xml:space="preserve"> _xll.EPMOlapMemberO("[PRDID].[].[999-71000-0024]","","999-71000-0024","","000")</f>
        <v>999-71000-0024</v>
      </c>
      <c r="C451" s="2" t="str">
        <f xml:space="preserve"> _xll.EPMOlapMemberO("[BRAND].[].[ LARK]",""," LARK","","000")</f>
        <v xml:space="preserve"> LARK</v>
      </c>
      <c r="D451" s="2" t="str">
        <f xml:space="preserve"> _xll.EPMOlapMemberO("[AM2MARKETDESCR].[].[JAPAN ]","","JAPAN ","","000")</f>
        <v xml:space="preserve">JAPAN </v>
      </c>
      <c r="E451" s="2" t="str">
        <f xml:space="preserve"> _xll.EPMOlapMemberO("[AM2PARENTCUSTGROUP].[].[Mondelez]","","Mondelez","","000")</f>
        <v>Mondelez</v>
      </c>
      <c r="F451" s="2" t="str">
        <f xml:space="preserve"> _xll.EPMOlapMemberO("[KEY_FIGURES].[].[AM2ACTUALSHIPMENTS]","","Shipments","","000")</f>
        <v>Shipments</v>
      </c>
      <c r="G451" s="2">
        <v>3264</v>
      </c>
      <c r="H451" s="2">
        <v>5024</v>
      </c>
      <c r="I451" s="2">
        <v>864</v>
      </c>
      <c r="J451" s="2">
        <v>2888</v>
      </c>
      <c r="K451" s="2">
        <v>4320</v>
      </c>
      <c r="L451" s="2">
        <v>1920</v>
      </c>
      <c r="M451" s="2">
        <v>2192</v>
      </c>
      <c r="N451" s="2">
        <v>1920</v>
      </c>
      <c r="O451" s="2">
        <v>2496</v>
      </c>
      <c r="P451" s="2">
        <v>960</v>
      </c>
      <c r="Q451" s="2">
        <v>3064</v>
      </c>
      <c r="R451" s="2">
        <v>1344</v>
      </c>
      <c r="S451" s="2">
        <v>3776</v>
      </c>
      <c r="U451" s="2">
        <v>2240</v>
      </c>
      <c r="V451" s="2">
        <v>5328</v>
      </c>
      <c r="W451" s="2">
        <v>2112</v>
      </c>
      <c r="X451" s="2">
        <v>1128</v>
      </c>
      <c r="Y451" s="2">
        <v>1504</v>
      </c>
      <c r="Z451" s="2">
        <v>2280</v>
      </c>
      <c r="AB451" s="2">
        <v>4840</v>
      </c>
      <c r="AC451" s="2">
        <v>2784</v>
      </c>
    </row>
    <row r="452" spans="1:35" x14ac:dyDescent="0.35">
      <c r="A452" s="2" t="str">
        <f xml:space="preserve"> _xll.EPMOlapMemberO("[LOCID].[].[Munich plant]","","Munich plant","","000")</f>
        <v>Munich plant</v>
      </c>
      <c r="B452" s="2" t="str">
        <f xml:space="preserve"> _xll.EPMOlapMemberO("[PRDID].[].[999-71000-0030]","","999-71000-0030","","000")</f>
        <v>999-71000-0030</v>
      </c>
      <c r="C452" s="2" t="str">
        <f xml:space="preserve"> _xll.EPMOlapMemberO("[BRAND].[].[ LARK]",""," LARK","","000")</f>
        <v xml:space="preserve"> LARK</v>
      </c>
      <c r="D452" s="2" t="str">
        <f xml:space="preserve"> _xll.EPMOlapMemberO("[AM2MARKETDESCR].[].[JAPAN ]","","JAPAN ","","000")</f>
        <v xml:space="preserve">JAPAN </v>
      </c>
      <c r="E452" s="2" t="str">
        <f xml:space="preserve"> _xll.EPMOlapMemberO("[AM2PARENTCUSTGROUP].[].[Mondelez]","","Mondelez","","000")</f>
        <v>Mondelez</v>
      </c>
      <c r="F452" s="2" t="str">
        <f xml:space="preserve"> _xll.EPMOlapMemberO("[KEY_FIGURES].[].[AM2ORDERINTAKE]","","Sales Order","","000")</f>
        <v>Sales Order</v>
      </c>
      <c r="L452" s="2">
        <v>5640</v>
      </c>
      <c r="X452" s="2">
        <v>579.54545399999995</v>
      </c>
      <c r="Z452" s="2">
        <v>816</v>
      </c>
      <c r="AG452" s="2">
        <v>75.75</v>
      </c>
    </row>
    <row r="453" spans="1:35" x14ac:dyDescent="0.35">
      <c r="A453" s="2" t="str">
        <f xml:space="preserve"> _xll.EPMOlapMemberO("[LOCID].[].[Munich plant]","","Munich plant","","000")</f>
        <v>Munich plant</v>
      </c>
      <c r="B453" s="2" t="str">
        <f xml:space="preserve"> _xll.EPMOlapMemberO("[PRDID].[].[999-71000-0030]","","999-71000-0030","","000")</f>
        <v>999-71000-0030</v>
      </c>
      <c r="C453" s="2" t="str">
        <f xml:space="preserve"> _xll.EPMOlapMemberO("[BRAND].[].[ LARK]",""," LARK","","000")</f>
        <v xml:space="preserve"> LARK</v>
      </c>
      <c r="D453" s="2" t="str">
        <f xml:space="preserve"> _xll.EPMOlapMemberO("[AM2MARKETDESCR].[].[JAPAN ]","","JAPAN ","","000")</f>
        <v xml:space="preserve">JAPAN </v>
      </c>
      <c r="E453" s="2" t="str">
        <f xml:space="preserve"> _xll.EPMOlapMemberO("[AM2PARENTCUSTGROUP].[].[Mondelez]","","Mondelez","","000")</f>
        <v>Mondelez</v>
      </c>
      <c r="F453" s="2" t="str">
        <f xml:space="preserve"> _xll.EPMOlapMemberO("[KEY_FIGURES].[].[AM2ACTUALSHIPMENTS]","","Shipments","","000")</f>
        <v>Shipments</v>
      </c>
      <c r="O453" s="2">
        <v>1344</v>
      </c>
      <c r="P453" s="2">
        <v>3168</v>
      </c>
      <c r="X453" s="2">
        <v>1632</v>
      </c>
      <c r="Y453" s="2">
        <v>272</v>
      </c>
      <c r="Z453" s="2">
        <v>800</v>
      </c>
      <c r="AG453" s="2">
        <v>-19.75</v>
      </c>
    </row>
    <row r="454" spans="1:35" x14ac:dyDescent="0.35">
      <c r="A454" s="2" t="str">
        <f xml:space="preserve"> _xll.EPMOlapMemberO("[LOCID].[].[Munich plant]","","Munich plant","","000")</f>
        <v>Munich plant</v>
      </c>
      <c r="B454" s="2" t="str">
        <f xml:space="preserve"> _xll.EPMOlapMemberO("[PRDID].[].[999-71000-0031]","","999-71000-0031","","000")</f>
        <v>999-71000-0031</v>
      </c>
      <c r="C454" s="2" t="str">
        <f xml:space="preserve"> _xll.EPMOlapMemberO("[BRAND].[].[ LARK]",""," LARK","","000")</f>
        <v xml:space="preserve"> LARK</v>
      </c>
      <c r="D454" s="2" t="str">
        <f xml:space="preserve"> _xll.EPMOlapMemberO("[AM2MARKETDESCR].[].[JAPAN ]","","JAPAN ","","000")</f>
        <v xml:space="preserve">JAPAN </v>
      </c>
      <c r="E454" s="2" t="str">
        <f xml:space="preserve"> _xll.EPMOlapMemberO("[AM2PARENTCUSTGROUP].[].[Mondelez]","","Mondelez","","000")</f>
        <v>Mondelez</v>
      </c>
      <c r="F454" s="2" t="str">
        <f xml:space="preserve"> _xll.EPMOlapMemberO("[KEY_FIGURES].[].[AM2ORDERINTAKE]","","Sales Order","","000")</f>
        <v>Sales Order</v>
      </c>
      <c r="Q454" s="2">
        <v>112.146753</v>
      </c>
      <c r="U454" s="2">
        <v>157.00545299999999</v>
      </c>
      <c r="Z454" s="2">
        <v>290</v>
      </c>
    </row>
    <row r="455" spans="1:35" x14ac:dyDescent="0.35">
      <c r="A455" s="2" t="str">
        <f xml:space="preserve"> _xll.EPMOlapMemberO("[LOCID].[].[Munich plant]","","Munich plant","","000")</f>
        <v>Munich plant</v>
      </c>
      <c r="B455" s="2" t="str">
        <f xml:space="preserve"> _xll.EPMOlapMemberO("[PRDID].[].[999-71000-0031]","","999-71000-0031","","000")</f>
        <v>999-71000-0031</v>
      </c>
      <c r="C455" s="2" t="str">
        <f xml:space="preserve"> _xll.EPMOlapMemberO("[BRAND].[].[ LARK]",""," LARK","","000")</f>
        <v xml:space="preserve"> LARK</v>
      </c>
      <c r="D455" s="2" t="str">
        <f xml:space="preserve"> _xll.EPMOlapMemberO("[AM2MARKETDESCR].[].[JAPAN ]","","JAPAN ","","000")</f>
        <v xml:space="preserve">JAPAN </v>
      </c>
      <c r="E455" s="2" t="str">
        <f xml:space="preserve"> _xll.EPMOlapMemberO("[AM2PARENTCUSTGROUP].[].[Mondelez]","","Mondelez","","000")</f>
        <v>Mondelez</v>
      </c>
      <c r="F455" s="2" t="str">
        <f xml:space="preserve"> _xll.EPMOlapMemberO("[KEY_FIGURES].[].[AM2ACTUALSHIPMENTS]","","Shipments","","000")</f>
        <v>Shipments</v>
      </c>
      <c r="U455" s="2">
        <v>600</v>
      </c>
      <c r="W455" s="2">
        <v>1056</v>
      </c>
      <c r="X455" s="2">
        <v>1128</v>
      </c>
      <c r="Z455" s="2">
        <v>296</v>
      </c>
    </row>
    <row r="456" spans="1:35" x14ac:dyDescent="0.35">
      <c r="A456" s="2" t="str">
        <f xml:space="preserve"> _xll.EPMOlapMemberO("[LOCID].[].[Munich plant]","","Munich plant","","000")</f>
        <v>Munich plant</v>
      </c>
      <c r="B456" s="2" t="str">
        <f xml:space="preserve"> _xll.EPMOlapMemberO("[PRDID].[].[999-71000-0032]","","999-71000-0032","","000")</f>
        <v>999-71000-0032</v>
      </c>
      <c r="C456" s="2" t="str">
        <f xml:space="preserve"> _xll.EPMOlapMemberO("[BRAND].[].[ LARK]",""," LARK","","000")</f>
        <v xml:space="preserve"> LARK</v>
      </c>
      <c r="D456" s="2" t="str">
        <f xml:space="preserve"> _xll.EPMOlapMemberO("[AM2MARKETDESCR].[].[JAPAN ]","","JAPAN ","","000")</f>
        <v xml:space="preserve">JAPAN </v>
      </c>
      <c r="E456" s="2" t="str">
        <f xml:space="preserve"> _xll.EPMOlapMemberO("[AM2PARENTCUSTGROUP].[].[Mondelez]","","Mondelez","","000")</f>
        <v>Mondelez</v>
      </c>
      <c r="F456" s="2" t="str">
        <f xml:space="preserve"> _xll.EPMOlapMemberO("[KEY_FIGURES].[].[AM2ORDERINTAKE]","","Sales Order","","000")</f>
        <v>Sales Order</v>
      </c>
      <c r="P456" s="2">
        <v>852</v>
      </c>
      <c r="R456" s="2">
        <v>140</v>
      </c>
      <c r="T456" s="2">
        <v>910</v>
      </c>
      <c r="Y456" s="2">
        <v>900</v>
      </c>
      <c r="Z456" s="2">
        <v>384</v>
      </c>
    </row>
    <row r="457" spans="1:35" x14ac:dyDescent="0.35">
      <c r="A457" s="2" t="str">
        <f xml:space="preserve"> _xll.EPMOlapMemberO("[LOCID].[].[Munich plant]","","Munich plant","","000")</f>
        <v>Munich plant</v>
      </c>
      <c r="B457" s="2" t="str">
        <f xml:space="preserve"> _xll.EPMOlapMemberO("[PRDID].[].[999-71000-0032]","","999-71000-0032","","000")</f>
        <v>999-71000-0032</v>
      </c>
      <c r="C457" s="2" t="str">
        <f xml:space="preserve"> _xll.EPMOlapMemberO("[BRAND].[].[ LARK]",""," LARK","","000")</f>
        <v xml:space="preserve"> LARK</v>
      </c>
      <c r="D457" s="2" t="str">
        <f xml:space="preserve"> _xll.EPMOlapMemberO("[AM2MARKETDESCR].[].[JAPAN ]","","JAPAN ","","000")</f>
        <v xml:space="preserve">JAPAN </v>
      </c>
      <c r="E457" s="2" t="str">
        <f xml:space="preserve"> _xll.EPMOlapMemberO("[AM2PARENTCUSTGROUP].[].[Mondelez]","","Mondelez","","000")</f>
        <v>Mondelez</v>
      </c>
      <c r="F457" s="2" t="str">
        <f xml:space="preserve"> _xll.EPMOlapMemberO("[KEY_FIGURES].[].[AM2ACTUALSHIPMENTS]","","Shipments","","000")</f>
        <v>Shipments</v>
      </c>
      <c r="P457" s="2">
        <v>480</v>
      </c>
      <c r="Q457" s="2">
        <v>96</v>
      </c>
      <c r="S457" s="2">
        <v>424</v>
      </c>
      <c r="T457" s="2">
        <v>944</v>
      </c>
      <c r="Y457" s="2">
        <v>808</v>
      </c>
      <c r="Z457" s="2">
        <v>384</v>
      </c>
    </row>
    <row r="458" spans="1:35" x14ac:dyDescent="0.35">
      <c r="A458" s="2" t="str">
        <f xml:space="preserve"> _xll.EPMOlapMemberO("[LOCID].[].[Munich plant]","","Munich plant","","000")</f>
        <v>Munich plant</v>
      </c>
      <c r="B458" s="2" t="str">
        <f xml:space="preserve"> _xll.EPMOlapMemberO("[PRDID].[].[999-71000-0033]","","999-71000-0033","","000")</f>
        <v>999-71000-0033</v>
      </c>
      <c r="C458" s="2" t="str">
        <f xml:space="preserve"> _xll.EPMOlapMemberO("[BRAND].[].[ LARK]",""," LARK","","000")</f>
        <v xml:space="preserve"> LARK</v>
      </c>
      <c r="D458" s="2" t="str">
        <f xml:space="preserve"> _xll.EPMOlapMemberO("[AM2MARKETDESCR].[].[JAPAN ]","","JAPAN ","","000")</f>
        <v xml:space="preserve">JAPAN </v>
      </c>
      <c r="E458" s="2" t="str">
        <f xml:space="preserve"> _xll.EPMOlapMemberO("[AM2PARENTCUSTGROUP].[].[Mondelez]","","Mondelez","","000")</f>
        <v>Mondelez</v>
      </c>
      <c r="F458" s="2" t="str">
        <f xml:space="preserve"> _xll.EPMOlapMemberO("[KEY_FIGURES].[].[AM2ORDERINTAKE]","","Sales Order","","000")</f>
        <v>Sales Order</v>
      </c>
      <c r="Q458" s="2">
        <v>860</v>
      </c>
    </row>
    <row r="459" spans="1:35" x14ac:dyDescent="0.35">
      <c r="A459" s="2" t="str">
        <f xml:space="preserve"> _xll.EPMOlapMemberO("[LOCID].[].[Munich plant]","","Munich plant","","000")</f>
        <v>Munich plant</v>
      </c>
      <c r="B459" s="2" t="str">
        <f xml:space="preserve"> _xll.EPMOlapMemberO("[PRDID].[].[999-71000-0033]","","999-71000-0033","","000")</f>
        <v>999-71000-0033</v>
      </c>
      <c r="C459" s="2" t="str">
        <f xml:space="preserve"> _xll.EPMOlapMemberO("[BRAND].[].[ LARK]",""," LARK","","000")</f>
        <v xml:space="preserve"> LARK</v>
      </c>
      <c r="D459" s="2" t="str">
        <f xml:space="preserve"> _xll.EPMOlapMemberO("[AM2MARKETDESCR].[].[JAPAN ]","","JAPAN ","","000")</f>
        <v xml:space="preserve">JAPAN </v>
      </c>
      <c r="E459" s="2" t="str">
        <f xml:space="preserve"> _xll.EPMOlapMemberO("[AM2PARENTCUSTGROUP].[].[Mondelez]","","Mondelez","","000")</f>
        <v>Mondelez</v>
      </c>
      <c r="F459" s="2" t="str">
        <f xml:space="preserve"> _xll.EPMOlapMemberO("[KEY_FIGURES].[].[AM2ACTUALSHIPMENTS]","","Shipments","","000")</f>
        <v>Shipments</v>
      </c>
      <c r="Q459" s="2">
        <v>864</v>
      </c>
    </row>
    <row r="460" spans="1:35" x14ac:dyDescent="0.35">
      <c r="A460" s="2" t="str">
        <f xml:space="preserve"> _xll.EPMOlapMemberO("[LOCID].[].[Munich plant]","","Munich plant","","000")</f>
        <v>Munich plant</v>
      </c>
      <c r="B460" s="2" t="str">
        <f xml:space="preserve"> _xll.EPMOlapMemberO("[PRDID].[].[999-71000-0034]","","999-71000-0034","","000")</f>
        <v>999-71000-0034</v>
      </c>
      <c r="C460" s="2" t="str">
        <f xml:space="preserve"> _xll.EPMOlapMemberO("[BRAND].[].[ LARK]",""," LARK","","000")</f>
        <v xml:space="preserve"> LARK</v>
      </c>
      <c r="D460" s="2" t="str">
        <f xml:space="preserve"> _xll.EPMOlapMemberO("[AM2MARKETDESCR].[].[JAPAN ]","","JAPAN ","","000")</f>
        <v xml:space="preserve">JAPAN </v>
      </c>
      <c r="E460" s="2" t="str">
        <f xml:space="preserve"> _xll.EPMOlapMemberO("[AM2PARENTCUSTGROUP].[].[Mondelez]","","Mondelez","","000")</f>
        <v>Mondelez</v>
      </c>
      <c r="F460" s="2" t="str">
        <f xml:space="preserve"> _xll.EPMOlapMemberO("[KEY_FIGURES].[].[AM2ORDERINTAKE]","","Sales Order","","000")</f>
        <v>Sales Order</v>
      </c>
      <c r="Q460" s="2">
        <v>1110</v>
      </c>
    </row>
    <row r="461" spans="1:35" x14ac:dyDescent="0.35">
      <c r="A461" s="2" t="str">
        <f xml:space="preserve"> _xll.EPMOlapMemberO("[LOCID].[].[Munich plant]","","Munich plant","","000")</f>
        <v>Munich plant</v>
      </c>
      <c r="B461" s="2" t="str">
        <f xml:space="preserve"> _xll.EPMOlapMemberO("[PRDID].[].[999-71000-0034]","","999-71000-0034","","000")</f>
        <v>999-71000-0034</v>
      </c>
      <c r="C461" s="2" t="str">
        <f xml:space="preserve"> _xll.EPMOlapMemberO("[BRAND].[].[ LARK]",""," LARK","","000")</f>
        <v xml:space="preserve"> LARK</v>
      </c>
      <c r="D461" s="2" t="str">
        <f xml:space="preserve"> _xll.EPMOlapMemberO("[AM2MARKETDESCR].[].[JAPAN ]","","JAPAN ","","000")</f>
        <v xml:space="preserve">JAPAN </v>
      </c>
      <c r="E461" s="2" t="str">
        <f xml:space="preserve"> _xll.EPMOlapMemberO("[AM2PARENTCUSTGROUP].[].[Mondelez]","","Mondelez","","000")</f>
        <v>Mondelez</v>
      </c>
      <c r="F461" s="2" t="str">
        <f xml:space="preserve"> _xll.EPMOlapMemberO("[KEY_FIGURES].[].[AM2ACTUALSHIPMENTS]","","Shipments","","000")</f>
        <v>Shipments</v>
      </c>
      <c r="Q461" s="2">
        <v>1112</v>
      </c>
    </row>
    <row r="462" spans="1:35" x14ac:dyDescent="0.35">
      <c r="A462" s="2" t="str">
        <f xml:space="preserve"> _xll.EPMOlapMemberO("[LOCID].[].[Munich plant]","","Munich plant","","000")</f>
        <v>Munich plant</v>
      </c>
      <c r="B462" s="2" t="str">
        <f xml:space="preserve"> _xll.EPMOlapMemberO("[PRDID].[].[999-71000-0035]","","999-71000-0035","","000")</f>
        <v>999-71000-0035</v>
      </c>
      <c r="C462" s="2" t="str">
        <f xml:space="preserve"> _xll.EPMOlapMemberO("[BRAND].[].[ LARK]",""," LARK","","000")</f>
        <v xml:space="preserve"> LARK</v>
      </c>
      <c r="D462" s="2" t="str">
        <f xml:space="preserve"> _xll.EPMOlapMemberO("[AM2MARKETDESCR].[].[JAPAN ]","","JAPAN ","","000")</f>
        <v xml:space="preserve">JAPAN </v>
      </c>
      <c r="E462" s="2" t="str">
        <f xml:space="preserve"> _xll.EPMOlapMemberO("[AM2PARENTCUSTGROUP].[].[Mondelez]","","Mondelez","","000")</f>
        <v>Mondelez</v>
      </c>
      <c r="F462" s="2" t="str">
        <f xml:space="preserve"> _xll.EPMOlapMemberO("[KEY_FIGURES].[].[AM2ORDERINTAKE]","","Sales Order","","000")</f>
        <v>Sales Order</v>
      </c>
      <c r="AD462" s="2">
        <v>3168</v>
      </c>
      <c r="AF462" s="2">
        <v>2400</v>
      </c>
    </row>
    <row r="463" spans="1:35" x14ac:dyDescent="0.35">
      <c r="A463" s="2" t="str">
        <f xml:space="preserve"> _xll.EPMOlapMemberO("[LOCID].[].[Munich plant]","","Munich plant","","000")</f>
        <v>Munich plant</v>
      </c>
      <c r="B463" s="2" t="str">
        <f xml:space="preserve"> _xll.EPMOlapMemberO("[PRDID].[].[999-71000-0035]","","999-71000-0035","","000")</f>
        <v>999-71000-0035</v>
      </c>
      <c r="C463" s="2" t="str">
        <f xml:space="preserve"> _xll.EPMOlapMemberO("[BRAND].[].[ LARK]",""," LARK","","000")</f>
        <v xml:space="preserve"> LARK</v>
      </c>
      <c r="D463" s="2" t="str">
        <f xml:space="preserve"> _xll.EPMOlapMemberO("[AM2MARKETDESCR].[].[JAPAN ]","","JAPAN ","","000")</f>
        <v xml:space="preserve">JAPAN </v>
      </c>
      <c r="E463" s="2" t="str">
        <f xml:space="preserve"> _xll.EPMOlapMemberO("[AM2PARENTCUSTGROUP].[].[Mondelez]","","Mondelez","","000")</f>
        <v>Mondelez</v>
      </c>
      <c r="F463" s="2" t="str">
        <f xml:space="preserve"> _xll.EPMOlapMemberO("[KEY_FIGURES].[].[AM2ACTUALSHIPMENTS]","","Shipments","","000")</f>
        <v>Shipments</v>
      </c>
      <c r="AD463" s="2">
        <v>1989</v>
      </c>
      <c r="AF463" s="2">
        <v>1140.75</v>
      </c>
      <c r="AH463" s="2">
        <v>1170</v>
      </c>
      <c r="AI463" s="2">
        <v>1238.25</v>
      </c>
    </row>
    <row r="464" spans="1:35" x14ac:dyDescent="0.35">
      <c r="A464" s="2" t="str">
        <f xml:space="preserve"> _xll.EPMOlapMemberO("[LOCID].[].[Munich plant]","","Munich plant","","000")</f>
        <v>Munich plant</v>
      </c>
      <c r="B464" s="2" t="str">
        <f xml:space="preserve"> _xll.EPMOlapMemberO("[PRDID].[].[999-71000-0036]","","999-71000-0036","","000")</f>
        <v>999-71000-0036</v>
      </c>
      <c r="C464" s="2" t="str">
        <f xml:space="preserve"> _xll.EPMOlapMemberO("[BRAND].[].[ LARK]",""," LARK","","000")</f>
        <v xml:space="preserve"> LARK</v>
      </c>
      <c r="D464" s="2" t="str">
        <f xml:space="preserve"> _xll.EPMOlapMemberO("[AM2MARKETDESCR].[].[JAPAN ]","","JAPAN ","","000")</f>
        <v xml:space="preserve">JAPAN </v>
      </c>
      <c r="E464" s="2" t="str">
        <f xml:space="preserve"> _xll.EPMOlapMemberO("[AM2PARENTCUSTGROUP].[].[Mondelez]","","Mondelez","","000")</f>
        <v>Mondelez</v>
      </c>
      <c r="F464" s="2" t="str">
        <f xml:space="preserve"> _xll.EPMOlapMemberO("[KEY_FIGURES].[].[AM2ORDERINTAKE]","","Sales Order","","000")</f>
        <v>Sales Order</v>
      </c>
      <c r="AD464" s="2">
        <v>1920</v>
      </c>
      <c r="AE464" s="2">
        <v>1672</v>
      </c>
      <c r="AG464" s="2">
        <v>3861</v>
      </c>
    </row>
    <row r="465" spans="1:52" x14ac:dyDescent="0.35">
      <c r="A465" s="2" t="str">
        <f xml:space="preserve"> _xll.EPMOlapMemberO("[LOCID].[].[Munich plant]","","Munich plant","","000")</f>
        <v>Munich plant</v>
      </c>
      <c r="B465" s="2" t="str">
        <f xml:space="preserve"> _xll.EPMOlapMemberO("[PRDID].[].[999-71000-0036]","","999-71000-0036","","000")</f>
        <v>999-71000-0036</v>
      </c>
      <c r="C465" s="2" t="str">
        <f xml:space="preserve"> _xll.EPMOlapMemberO("[BRAND].[].[ LARK]",""," LARK","","000")</f>
        <v xml:space="preserve"> LARK</v>
      </c>
      <c r="D465" s="2" t="str">
        <f xml:space="preserve"> _xll.EPMOlapMemberO("[AM2MARKETDESCR].[].[JAPAN ]","","JAPAN ","","000")</f>
        <v xml:space="preserve">JAPAN </v>
      </c>
      <c r="E465" s="2" t="str">
        <f xml:space="preserve"> _xll.EPMOlapMemberO("[AM2PARENTCUSTGROUP].[].[Mondelez]","","Mondelez","","000")</f>
        <v>Mondelez</v>
      </c>
      <c r="F465" s="2" t="str">
        <f xml:space="preserve"> _xll.EPMOlapMemberO("[KEY_FIGURES].[].[AM2ACTUALSHIPMENTS]","","Shipments","","000")</f>
        <v>Shipments</v>
      </c>
      <c r="AD465" s="2">
        <v>1872</v>
      </c>
      <c r="AF465" s="2">
        <v>1677</v>
      </c>
      <c r="AH465" s="2">
        <v>3276</v>
      </c>
      <c r="AJ465" s="2">
        <v>585</v>
      </c>
    </row>
    <row r="466" spans="1:52" x14ac:dyDescent="0.35">
      <c r="A466" s="2" t="str">
        <f xml:space="preserve"> _xll.EPMOlapMemberO("[LOCID].[].[Munich plant]","","Munich plant","","000")</f>
        <v>Munich plant</v>
      </c>
      <c r="B466" s="2" t="str">
        <f xml:space="preserve"> _xll.EPMOlapMemberO("[PRDID].[].[999-71064-0002]","","999-71064-0002","","000")</f>
        <v>999-71064-0002</v>
      </c>
      <c r="C466" s="2" t="str">
        <f xml:space="preserve"> _xll.EPMOlapMemberO("[BRAND].[].[ BOND STREET]",""," BOND STREET","","000")</f>
        <v xml:space="preserve"> BOND STREET</v>
      </c>
      <c r="D466" s="2" t="str">
        <f xml:space="preserve"> _xll.EPMOlapMemberO("[AM2MARKETDESCR].[].[SERBIA ]","","SERBIA ","","000")</f>
        <v xml:space="preserve">SERBIA </v>
      </c>
      <c r="E466" s="2" t="str">
        <f xml:space="preserve"> _xll.EPMOlapMemberO("[AM2PARENTCUSTGROUP].[].[Mondelez]","","Mondelez","","000")</f>
        <v>Mondelez</v>
      </c>
      <c r="F466" s="2" t="str">
        <f xml:space="preserve"> _xll.EPMOlapMemberO("[KEY_FIGURES].[].[AM2ACTUALSHIPMENTS]","","Shipments","","000")</f>
        <v>Shipments</v>
      </c>
      <c r="G466" s="2">
        <v>1128</v>
      </c>
    </row>
    <row r="467" spans="1:52" x14ac:dyDescent="0.35">
      <c r="A467" s="2" t="str">
        <f xml:space="preserve"> _xll.EPMOlapMemberO("[LOCID].[].[Munich plant]","","Munich plant","","000")</f>
        <v>Munich plant</v>
      </c>
      <c r="B467" s="2" t="str">
        <f xml:space="preserve"> _xll.EPMOlapMemberO("[PRDID].[].[999-71064-0003]","","999-71064-0003","","000")</f>
        <v>999-71064-0003</v>
      </c>
      <c r="C467" s="2" t="str">
        <f xml:space="preserve"> _xll.EPMOlapMemberO("[BRAND].[].[ BOND STREET]",""," BOND STREET","","000")</f>
        <v xml:space="preserve"> BOND STREET</v>
      </c>
      <c r="D467" s="2" t="str">
        <f xml:space="preserve"> _xll.EPMOlapMemberO("[AM2MARKETDESCR].[].[SERBIA ]","","SERBIA ","","000")</f>
        <v xml:space="preserve">SERBIA </v>
      </c>
      <c r="E467" s="2" t="str">
        <f xml:space="preserve"> _xll.EPMOlapMemberO("[AM2PARENTCUSTGROUP].[].[Mondelez]","","Mondelez","","000")</f>
        <v>Mondelez</v>
      </c>
      <c r="F467" s="2" t="str">
        <f xml:space="preserve"> _xll.EPMOlapMemberO("[KEY_FIGURES].[].[AM2ACTUALSHIPMENTS]","","Shipments","","000")</f>
        <v>Shipments</v>
      </c>
      <c r="G467" s="2">
        <v>592</v>
      </c>
    </row>
    <row r="468" spans="1:52" x14ac:dyDescent="0.35">
      <c r="A468" s="2" t="str">
        <f xml:space="preserve"> _xll.EPMOlapMemberO("[LOCID].[].[Munich plant]","","Munich plant","","000")</f>
        <v>Munich plant</v>
      </c>
      <c r="B468" s="2" t="str">
        <f xml:space="preserve"> _xll.EPMOlapMemberO("[PRDID].[].[999-71694-0052]","","999-71694-0052","","000")</f>
        <v>999-71694-0052</v>
      </c>
      <c r="C468" s="2" t="str">
        <f xml:space="preserve"> _xll.EPMOlapMemberO("[BRAND].[].[ PLAIN PACKAGING]",""," PLAIN PACKAGING","","000")</f>
        <v xml:space="preserve"> PLAIN PACKAGING</v>
      </c>
      <c r="D468" s="2" t="str">
        <f xml:space="preserve"> _xll.EPMOlapMemberO("[AM2MARKETDESCR].[].[GREAT BRITAIN]","","GREAT BRITAIN","","000")</f>
        <v>GREAT BRITAIN</v>
      </c>
      <c r="E468" s="2" t="str">
        <f xml:space="preserve"> _xll.EPMOlapMemberO("[AM2PARENTCUSTGROUP].[].[__NULL]","","(None)","","000")</f>
        <v>(None)</v>
      </c>
      <c r="F468" s="2" t="str">
        <f xml:space="preserve"> _xll.EPMOlapMemberO("[KEY_FIGURES].[].[INITIALINVENTORY]","","Stock","","000")</f>
        <v>Stock</v>
      </c>
      <c r="AQ468" s="2">
        <v>4040.4</v>
      </c>
    </row>
    <row r="469" spans="1:52" x14ac:dyDescent="0.35">
      <c r="A469" s="2" t="str">
        <f xml:space="preserve"> _xll.EPMOlapMemberO("[LOCID].[].[Munich plant]","","Munich plant","","000")</f>
        <v>Munich plant</v>
      </c>
      <c r="B469" s="2" t="str">
        <f xml:space="preserve"> _xll.EPMOlapMemberO("[PRDID].[].[999-71694-0052]","","999-71694-0052","","000")</f>
        <v>999-71694-0052</v>
      </c>
      <c r="C469" s="2" t="str">
        <f xml:space="preserve"> _xll.EPMOlapMemberO("[BRAND].[].[ PLAIN PACKAGING]",""," PLAIN PACKAGING","","000")</f>
        <v xml:space="preserve"> PLAIN PACKAGING</v>
      </c>
      <c r="D469" s="2" t="str">
        <f xml:space="preserve"> _xll.EPMOlapMemberO("[AM2MARKETDESCR].[].[GREAT BRITAIN]","","GREAT BRITAIN","","000")</f>
        <v>GREAT BRITAIN</v>
      </c>
      <c r="E469" s="2" t="str">
        <f xml:space="preserve"> _xll.EPMOlapMemberO("[AM2PARENTCUSTGROUP].[].[__NULL]","","(None)","","000")</f>
        <v>(None)</v>
      </c>
      <c r="F469" s="2" t="str">
        <f xml:space="preserve"> _xll.EPMOlapMemberO("[KEY_FIGURES].[].[CONFIRMEDPRODUCTION]","","Production Order","","000")</f>
        <v>Production Order</v>
      </c>
      <c r="AR469" s="2">
        <v>12856</v>
      </c>
      <c r="AU469" s="2">
        <v>6000</v>
      </c>
      <c r="AV469" s="2">
        <v>5321.6</v>
      </c>
      <c r="AW469" s="2">
        <v>6000</v>
      </c>
      <c r="AX469" s="2">
        <v>5133</v>
      </c>
      <c r="AY469" s="2">
        <v>6000</v>
      </c>
      <c r="AZ469" s="2">
        <v>4567.5</v>
      </c>
    </row>
    <row r="470" spans="1:52" x14ac:dyDescent="0.35">
      <c r="A470" s="2" t="str">
        <f xml:space="preserve"> _xll.EPMOlapMemberO("[LOCID].[].[Munich plant]","","Munich plant","","000")</f>
        <v>Munich plant</v>
      </c>
      <c r="B470" s="2" t="str">
        <f xml:space="preserve"> _xll.EPMOlapMemberO("[PRDID].[].[999-71694-0058]","","999-71694-0058","","000")</f>
        <v>999-71694-0058</v>
      </c>
      <c r="C470" s="2" t="str">
        <f xml:space="preserve"> _xll.EPMOlapMemberO("[BRAND].[].[ PLAIN PACKAGING]",""," PLAIN PACKAGING","","000")</f>
        <v xml:space="preserve"> PLAIN PACKAGING</v>
      </c>
      <c r="D470" s="2" t="str">
        <f xml:space="preserve"> _xll.EPMOlapMemberO("[AM2MARKETDESCR].[].[NORTHERN IRELAND]","","NORTHERN IRELAND","","000")</f>
        <v>NORTHERN IRELAND</v>
      </c>
      <c r="E470" s="2" t="str">
        <f xml:space="preserve"> _xll.EPMOlapMemberO("[AM2PARENTCUSTGROUP].[].[__NULL]","","(None)","","000")</f>
        <v>(None)</v>
      </c>
      <c r="F470" s="2" t="str">
        <f xml:space="preserve"> _xll.EPMOlapMemberO("[KEY_FIGURES].[].[INITIALINVENTORY]","","Stock","","000")</f>
        <v>Stock</v>
      </c>
      <c r="AQ470" s="2">
        <v>109.2</v>
      </c>
    </row>
    <row r="471" spans="1:52" x14ac:dyDescent="0.35">
      <c r="A471" s="2" t="str">
        <f xml:space="preserve"> _xll.EPMOlapMemberO("[LOCID].[].[Munich plant]","","Munich plant","","000")</f>
        <v>Munich plant</v>
      </c>
      <c r="B471" s="2" t="str">
        <f xml:space="preserve"> _xll.EPMOlapMemberO("[PRDID].[].[999-71694-0058]","","999-71694-0058","","000")</f>
        <v>999-71694-0058</v>
      </c>
      <c r="C471" s="2" t="str">
        <f xml:space="preserve"> _xll.EPMOlapMemberO("[BRAND].[].[ PLAIN PACKAGING]",""," PLAIN PACKAGING","","000")</f>
        <v xml:space="preserve"> PLAIN PACKAGING</v>
      </c>
      <c r="D471" s="2" t="str">
        <f xml:space="preserve"> _xll.EPMOlapMemberO("[AM2MARKETDESCR].[].[NORTHERN IRELAND]","","NORTHERN IRELAND","","000")</f>
        <v>NORTHERN IRELAND</v>
      </c>
      <c r="E471" s="2" t="str">
        <f xml:space="preserve"> _xll.EPMOlapMemberO("[AM2PARENTCUSTGROUP].[].[__NULL]","","(None)","","000")</f>
        <v>(None)</v>
      </c>
      <c r="F471" s="2" t="str">
        <f xml:space="preserve"> _xll.EPMOlapMemberO("[KEY_FIGURES].[].[CONFIRMEDPRODUCTION]","","Production Order","","000")</f>
        <v>Production Order</v>
      </c>
      <c r="AS471" s="2">
        <v>543.99900000000002</v>
      </c>
      <c r="AU471" s="2">
        <v>128</v>
      </c>
      <c r="AY471" s="2">
        <v>288</v>
      </c>
    </row>
    <row r="472" spans="1:52" x14ac:dyDescent="0.35">
      <c r="A472" s="2" t="str">
        <f xml:space="preserve"> _xll.EPMOlapMemberO("[LOCID].[].[Munich plant]","","Munich plant","","000")</f>
        <v>Munich plant</v>
      </c>
      <c r="B472" s="2" t="str">
        <f xml:space="preserve"> _xll.EPMOlapMemberO("[PRDID].[].[999-72044-0012]","","999-72044-0012","","000")</f>
        <v>999-72044-0012</v>
      </c>
      <c r="C472" s="2" t="str">
        <f xml:space="preserve"> _xll.EPMOlapMemberO("[BRAND].[].[ DUCADOS]",""," DUCADOS","","000")</f>
        <v xml:space="preserve"> DUCADOS</v>
      </c>
      <c r="D472" s="2" t="str">
        <f xml:space="preserve"> _xll.EPMOlapMemberO("[AM2MARKETDESCR].[].[SPAIN]","","SPAIN","","000")</f>
        <v>SPAIN</v>
      </c>
      <c r="E472" s="2" t="str">
        <f xml:space="preserve"> _xll.EPMOlapMemberO("[AM2PARENTCUSTGROUP].[].[__NULL]","","(None)","","000")</f>
        <v>(None)</v>
      </c>
      <c r="F472" s="2" t="str">
        <f xml:space="preserve"> _xll.EPMOlapMemberO("[KEY_FIGURES].[].[CONFIRMEDPRODUCTION]","","Production Order","","000")</f>
        <v>Production Order</v>
      </c>
      <c r="AQ472" s="2">
        <v>7035</v>
      </c>
      <c r="AR472" s="2">
        <v>6063.7430000000004</v>
      </c>
      <c r="AT472" s="2">
        <v>5640</v>
      </c>
      <c r="AV472" s="2">
        <v>605</v>
      </c>
      <c r="AW472" s="2">
        <v>6000</v>
      </c>
      <c r="AX472" s="2">
        <v>6000</v>
      </c>
      <c r="AZ472" s="2">
        <v>6000</v>
      </c>
    </row>
    <row r="473" spans="1:52" x14ac:dyDescent="0.35">
      <c r="A473" s="2" t="str">
        <f xml:space="preserve"> _xll.EPMOlapMemberO("[LOCID].[].[Munich plant]","","Munich plant","","000")</f>
        <v>Munich plant</v>
      </c>
      <c r="B473" s="2" t="str">
        <f xml:space="preserve"> _xll.EPMOlapMemberO("[PRDID].[].[999-72044-0014]","","999-72044-0014","","000")</f>
        <v>999-72044-0014</v>
      </c>
      <c r="C473" s="2" t="str">
        <f xml:space="preserve"> _xll.EPMOlapMemberO("[BRAND].[].[ DUCADOS]",""," DUCADOS","","000")</f>
        <v xml:space="preserve"> DUCADOS</v>
      </c>
      <c r="D473" s="2" t="str">
        <f xml:space="preserve"> _xll.EPMOlapMemberO("[AM2MARKETDESCR].[].[SPAIN]","","SPAIN","","000")</f>
        <v>SPAIN</v>
      </c>
      <c r="E473" s="2" t="str">
        <f xml:space="preserve"> _xll.EPMOlapMemberO("[AM2PARENTCUSTGROUP].[].[__NULL]","","(None)","","000")</f>
        <v>(None)</v>
      </c>
      <c r="F473" s="2" t="str">
        <f xml:space="preserve"> _xll.EPMOlapMemberO("[KEY_FIGURES].[].[CONFIRMEDPRODUCTION]","","Production Order","","000")</f>
        <v>Production Order</v>
      </c>
      <c r="AQ473" s="2">
        <v>1365</v>
      </c>
      <c r="AR473" s="2">
        <v>589.42399999999998</v>
      </c>
      <c r="AU473" s="2">
        <v>580</v>
      </c>
      <c r="AX473" s="2">
        <v>25</v>
      </c>
    </row>
    <row r="474" spans="1:52" x14ac:dyDescent="0.35">
      <c r="A474" s="2" t="str">
        <f xml:space="preserve"> _xll.EPMOlapMemberO("[LOCID].[].[Munich plant]","","Munich plant","","000")</f>
        <v>Munich plant</v>
      </c>
      <c r="B474" s="2" t="str">
        <f xml:space="preserve"> _xll.EPMOlapMemberO("[PRDID].[].[999-72044-0015]","","999-72044-0015","","000")</f>
        <v>999-72044-0015</v>
      </c>
      <c r="C474" s="2" t="str">
        <f xml:space="preserve"> _xll.EPMOlapMemberO("[BRAND].[].[ DUCADOS]",""," DUCADOS","","000")</f>
        <v xml:space="preserve"> DUCADOS</v>
      </c>
      <c r="D474" s="2" t="str">
        <f xml:space="preserve"> _xll.EPMOlapMemberO("[AM2MARKETDESCR].[].[GIBRALTAR]","","GIBRALTAR","","000")</f>
        <v>GIBRALTAR</v>
      </c>
      <c r="E474" s="2" t="str">
        <f xml:space="preserve"> _xll.EPMOlapMemberO("[AM2PARENTCUSTGROUP].[].[__NULL]","","(None)","","000")</f>
        <v>(None)</v>
      </c>
      <c r="F474" s="2" t="str">
        <f xml:space="preserve"> _xll.EPMOlapMemberO("[KEY_FIGURES].[].[CONFIRMEDPRODUCTION]","","Production Order","","000")</f>
        <v>Production Order</v>
      </c>
      <c r="AR474" s="2">
        <v>186.875</v>
      </c>
      <c r="AU474" s="2">
        <v>210</v>
      </c>
      <c r="AX474" s="2">
        <v>150</v>
      </c>
    </row>
    <row r="475" spans="1:52" x14ac:dyDescent="0.35">
      <c r="A475" s="2" t="str">
        <f xml:space="preserve"> _xll.EPMOlapMemberO("[LOCID].[].[Munich plant]","","Munich plant","","000")</f>
        <v>Munich plant</v>
      </c>
      <c r="B475" s="2" t="str">
        <f xml:space="preserve"> _xll.EPMOlapMemberO("[PRDID].[].[999-72045-0003]","","999-72045-0003","","000")</f>
        <v>999-72045-0003</v>
      </c>
      <c r="C475" s="2" t="str">
        <f xml:space="preserve"> _xll.EPMOlapMemberO("[BRAND].[].[ ROYALE]",""," ROYALE","","000")</f>
        <v xml:space="preserve"> ROYALE</v>
      </c>
      <c r="D475" s="2" t="str">
        <f xml:space="preserve"> _xll.EPMOlapMemberO("[AM2MARKETDESCR].[].[TUNISIA]","","TUNISIA","","000")</f>
        <v>TUNISIA</v>
      </c>
      <c r="E475" s="2" t="str">
        <f xml:space="preserve"> _xll.EPMOlapMemberO("[AM2PARENTCUSTGROUP].[].[__NULL]","","(None)","","000")</f>
        <v>(None)</v>
      </c>
      <c r="F475" s="2" t="str">
        <f xml:space="preserve"> _xll.EPMOlapMemberO("[KEY_FIGURES].[].[CONFIRMEDPRODUCTION]","","Production Order","","000")</f>
        <v>Production Order</v>
      </c>
      <c r="AU475" s="2">
        <v>60</v>
      </c>
      <c r="AX475" s="2">
        <v>60</v>
      </c>
    </row>
    <row r="476" spans="1:52" x14ac:dyDescent="0.35">
      <c r="A476" s="2" t="str">
        <f xml:space="preserve"> _xll.EPMOlapMemberO("[LOCID].[].[Munich plant]","","Munich plant","","000")</f>
        <v>Munich plant</v>
      </c>
      <c r="B476" s="2" t="str">
        <f xml:space="preserve"> _xll.EPMOlapMemberO("[PRDID].[].[999-72390-0034]","","999-72390-0034","","000")</f>
        <v>999-72390-0034</v>
      </c>
      <c r="C476" s="2" t="str">
        <f xml:space="preserve"> _xll.EPMOlapMemberO("[BRAND].[].[ FORTUNA]",""," FORTUNA","","000")</f>
        <v xml:space="preserve"> FORTUNA</v>
      </c>
      <c r="D476" s="2" t="str">
        <f xml:space="preserve"> _xll.EPMOlapMemberO("[AM2MARKETDESCR].[].[LUXEMBURG]","","LUXEMBURG","","000")</f>
        <v>LUXEMBURG</v>
      </c>
      <c r="E476" s="2" t="str">
        <f xml:space="preserve"> _xll.EPMOlapMemberO("[AM2PARENTCUSTGROUP].[].[__NULL]","","(None)","","000")</f>
        <v>(None)</v>
      </c>
      <c r="F476" s="2" t="str">
        <f xml:space="preserve"> _xll.EPMOlapMemberO("[KEY_FIGURES].[].[CONFIRMEDPRODUCTION]","","Production Order","","000")</f>
        <v>Production Order</v>
      </c>
      <c r="AR476" s="2">
        <v>252</v>
      </c>
      <c r="AT476" s="2">
        <v>139.19999999999999</v>
      </c>
      <c r="AW476" s="2">
        <v>97.2</v>
      </c>
      <c r="AZ476" s="2">
        <v>151.19999999999999</v>
      </c>
    </row>
    <row r="477" spans="1:52" x14ac:dyDescent="0.35">
      <c r="A477" s="2" t="str">
        <f xml:space="preserve"> _xll.EPMOlapMemberO("[LOCID].[].[Munich plant]","","Munich plant","","000")</f>
        <v>Munich plant</v>
      </c>
      <c r="B477" s="2" t="str">
        <f xml:space="preserve"> _xll.EPMOlapMemberO("[PRDID].[].[999-72390-0035]","","999-72390-0035","","000")</f>
        <v>999-72390-0035</v>
      </c>
      <c r="C477" s="2" t="str">
        <f xml:space="preserve"> _xll.EPMOlapMemberO("[BRAND].[].[ FORTUNA]",""," FORTUNA","","000")</f>
        <v xml:space="preserve"> FORTUNA</v>
      </c>
      <c r="D477" s="2" t="str">
        <f xml:space="preserve"> _xll.EPMOlapMemberO("[AM2MARKETDESCR].[].[LUXEMBURG]","","LUXEMBURG","","000")</f>
        <v>LUXEMBURG</v>
      </c>
      <c r="E477" s="2" t="str">
        <f xml:space="preserve"> _xll.EPMOlapMemberO("[AM2PARENTCUSTGROUP].[].[__NULL]","","(None)","","000")</f>
        <v>(None)</v>
      </c>
      <c r="F477" s="2" t="str">
        <f xml:space="preserve"> _xll.EPMOlapMemberO("[KEY_FIGURES].[].[CONFIRMEDPRODUCTION]","","Production Order","","000")</f>
        <v>Production Order</v>
      </c>
      <c r="AR477" s="2">
        <v>84</v>
      </c>
      <c r="AS477" s="2">
        <v>24</v>
      </c>
      <c r="AW477" s="2">
        <v>21.6</v>
      </c>
      <c r="AZ477" s="2">
        <v>21.6</v>
      </c>
    </row>
    <row r="478" spans="1:52" x14ac:dyDescent="0.35">
      <c r="A478" s="2" t="str">
        <f xml:space="preserve"> _xll.EPMOlapMemberO("[LOCID].[].[Munich plant]","","Munich plant","","000")</f>
        <v>Munich plant</v>
      </c>
      <c r="B478" s="2" t="str">
        <f xml:space="preserve"> _xll.EPMOlapMemberO("[PRDID].[].[999-72390-0036]","","999-72390-0036","","000")</f>
        <v>999-72390-0036</v>
      </c>
      <c r="C478" s="2" t="str">
        <f xml:space="preserve"> _xll.EPMOlapMemberO("[BRAND].[].[ FORTUNA]",""," FORTUNA","","000")</f>
        <v xml:space="preserve"> FORTUNA</v>
      </c>
      <c r="D478" s="2" t="str">
        <f xml:space="preserve"> _xll.EPMOlapMemberO("[AM2MARKETDESCR].[].[SPAIN]","","SPAIN","","000")</f>
        <v>SPAIN</v>
      </c>
      <c r="E478" s="2" t="str">
        <f xml:space="preserve"> _xll.EPMOlapMemberO("[AM2PARENTCUSTGROUP].[].[__NULL]","","(None)","","000")</f>
        <v>(None)</v>
      </c>
      <c r="F478" s="2" t="str">
        <f xml:space="preserve"> _xll.EPMOlapMemberO("[KEY_FIGURES].[].[INITIALINVENTORY]","","Stock","","000")</f>
        <v>Stock</v>
      </c>
      <c r="AQ478" s="2">
        <v>1124.8</v>
      </c>
    </row>
    <row r="479" spans="1:52" x14ac:dyDescent="0.35">
      <c r="A479" s="2" t="str">
        <f xml:space="preserve"> _xll.EPMOlapMemberO("[LOCID].[].[Munich plant]","","Munich plant","","000")</f>
        <v>Munich plant</v>
      </c>
      <c r="B479" s="2" t="str">
        <f xml:space="preserve"> _xll.EPMOlapMemberO("[PRDID].[].[999-72390-0036]","","999-72390-0036","","000")</f>
        <v>999-72390-0036</v>
      </c>
      <c r="C479" s="2" t="str">
        <f xml:space="preserve"> _xll.EPMOlapMemberO("[BRAND].[].[ FORTUNA]",""," FORTUNA","","000")</f>
        <v xml:space="preserve"> FORTUNA</v>
      </c>
      <c r="D479" s="2" t="str">
        <f xml:space="preserve"> _xll.EPMOlapMemberO("[AM2MARKETDESCR].[].[SPAIN]","","SPAIN","","000")</f>
        <v>SPAIN</v>
      </c>
      <c r="E479" s="2" t="str">
        <f xml:space="preserve"> _xll.EPMOlapMemberO("[AM2PARENTCUSTGROUP].[].[__NULL]","","(None)","","000")</f>
        <v>(None)</v>
      </c>
      <c r="F479" s="2" t="str">
        <f xml:space="preserve"> _xll.EPMOlapMemberO("[KEY_FIGURES].[].[CONFIRMEDPRODUCTION]","","Production Order","","000")</f>
        <v>Production Order</v>
      </c>
      <c r="AR479" s="2">
        <v>5964</v>
      </c>
      <c r="AS479" s="2">
        <v>6000</v>
      </c>
      <c r="AU479" s="2">
        <v>6000</v>
      </c>
      <c r="AW479" s="2">
        <v>1438.037</v>
      </c>
      <c r="AX479" s="2">
        <v>8939.61</v>
      </c>
      <c r="AY479" s="2">
        <v>6000</v>
      </c>
      <c r="AZ479" s="2">
        <v>5344.1689999999999</v>
      </c>
    </row>
    <row r="480" spans="1:52" x14ac:dyDescent="0.35">
      <c r="A480" s="2" t="str">
        <f xml:space="preserve"> _xll.EPMOlapMemberO("[LOCID].[].[Munich plant]","","Munich plant","","000")</f>
        <v>Munich plant</v>
      </c>
      <c r="B480" s="2" t="str">
        <f xml:space="preserve"> _xll.EPMOlapMemberO("[PRDID].[].[999-72390-0037]","","999-72390-0037","","000")</f>
        <v>999-72390-0037</v>
      </c>
      <c r="C480" s="2" t="str">
        <f xml:space="preserve"> _xll.EPMOlapMemberO("[BRAND].[].[ FORTUNA]",""," FORTUNA","","000")</f>
        <v xml:space="preserve"> FORTUNA</v>
      </c>
      <c r="D480" s="2" t="str">
        <f xml:space="preserve"> _xll.EPMOlapMemberO("[AM2MARKETDESCR].[].[SPAIN]","","SPAIN","","000")</f>
        <v>SPAIN</v>
      </c>
      <c r="E480" s="2" t="str">
        <f xml:space="preserve"> _xll.EPMOlapMemberO("[AM2PARENTCUSTGROUP].[].[__NULL]","","(None)","","000")</f>
        <v>(None)</v>
      </c>
      <c r="F480" s="2" t="str">
        <f xml:space="preserve"> _xll.EPMOlapMemberO("[KEY_FIGURES].[].[INITIALINVENTORY]","","Stock","","000")</f>
        <v>Stock</v>
      </c>
      <c r="AQ480" s="2">
        <v>420</v>
      </c>
    </row>
    <row r="481" spans="1:52" x14ac:dyDescent="0.35">
      <c r="A481" s="2" t="str">
        <f xml:space="preserve"> _xll.EPMOlapMemberO("[LOCID].[].[Munich plant]","","Munich plant","","000")</f>
        <v>Munich plant</v>
      </c>
      <c r="B481" s="2" t="str">
        <f xml:space="preserve"> _xll.EPMOlapMemberO("[PRDID].[].[999-72390-0037]","","999-72390-0037","","000")</f>
        <v>999-72390-0037</v>
      </c>
      <c r="C481" s="2" t="str">
        <f xml:space="preserve"> _xll.EPMOlapMemberO("[BRAND].[].[ FORTUNA]",""," FORTUNA","","000")</f>
        <v xml:space="preserve"> FORTUNA</v>
      </c>
      <c r="D481" s="2" t="str">
        <f xml:space="preserve"> _xll.EPMOlapMemberO("[AM2MARKETDESCR].[].[SPAIN]","","SPAIN","","000")</f>
        <v>SPAIN</v>
      </c>
      <c r="E481" s="2" t="str">
        <f xml:space="preserve"> _xll.EPMOlapMemberO("[AM2PARENTCUSTGROUP].[].[__NULL]","","(None)","","000")</f>
        <v>(None)</v>
      </c>
      <c r="F481" s="2" t="str">
        <f xml:space="preserve"> _xll.EPMOlapMemberO("[KEY_FIGURES].[].[CONFIRMEDPRODUCTION]","","Production Order","","000")</f>
        <v>Production Order</v>
      </c>
      <c r="AR481" s="2">
        <v>5964</v>
      </c>
      <c r="AT481" s="2">
        <v>4147.1329999999998</v>
      </c>
      <c r="AW481" s="2">
        <v>1417.5</v>
      </c>
      <c r="AY481" s="2">
        <v>3482.7570000000001</v>
      </c>
    </row>
    <row r="482" spans="1:52" x14ac:dyDescent="0.35">
      <c r="A482" s="2" t="str">
        <f xml:space="preserve"> _xll.EPMOlapMemberO("[LOCID].[].[Munich plant]","","Munich plant","","000")</f>
        <v>Munich plant</v>
      </c>
      <c r="B482" s="2" t="str">
        <f xml:space="preserve"> _xll.EPMOlapMemberO("[PRDID].[].[999-72391-0006]","","999-72391-0006","","000")</f>
        <v>999-72391-0006</v>
      </c>
      <c r="C482" s="2" t="str">
        <f xml:space="preserve"> _xll.EPMOlapMemberO("[BRAND].[].[ FORTUNA]",""," FORTUNA","","000")</f>
        <v xml:space="preserve"> FORTUNA</v>
      </c>
      <c r="D482" s="2" t="str">
        <f xml:space="preserve"> _xll.EPMOlapMemberO("[AM2MARKETDESCR].[].[SPAIN]","","SPAIN","","000")</f>
        <v>SPAIN</v>
      </c>
      <c r="E482" s="2" t="str">
        <f xml:space="preserve"> _xll.EPMOlapMemberO("[AM2PARENTCUSTGROUP].[].[__NULL]","","(None)","","000")</f>
        <v>(None)</v>
      </c>
      <c r="F482" s="2" t="str">
        <f xml:space="preserve"> _xll.EPMOlapMemberO("[KEY_FIGURES].[].[INITIALINVENTORY]","","Stock","","000")</f>
        <v>Stock</v>
      </c>
      <c r="AQ482" s="2">
        <v>756</v>
      </c>
    </row>
    <row r="483" spans="1:52" x14ac:dyDescent="0.35">
      <c r="A483" s="2" t="str">
        <f xml:space="preserve"> _xll.EPMOlapMemberO("[LOCID].[].[Munich plant]","","Munich plant","","000")</f>
        <v>Munich plant</v>
      </c>
      <c r="B483" s="2" t="str">
        <f xml:space="preserve"> _xll.EPMOlapMemberO("[PRDID].[].[999-72391-0006]","","999-72391-0006","","000")</f>
        <v>999-72391-0006</v>
      </c>
      <c r="C483" s="2" t="str">
        <f xml:space="preserve"> _xll.EPMOlapMemberO("[BRAND].[].[ FORTUNA]",""," FORTUNA","","000")</f>
        <v xml:space="preserve"> FORTUNA</v>
      </c>
      <c r="D483" s="2" t="str">
        <f xml:space="preserve"> _xll.EPMOlapMemberO("[AM2MARKETDESCR].[].[SPAIN]","","SPAIN","","000")</f>
        <v>SPAIN</v>
      </c>
      <c r="E483" s="2" t="str">
        <f xml:space="preserve"> _xll.EPMOlapMemberO("[AM2PARENTCUSTGROUP].[].[__NULL]","","(None)","","000")</f>
        <v>(None)</v>
      </c>
      <c r="F483" s="2" t="str">
        <f xml:space="preserve"> _xll.EPMOlapMemberO("[KEY_FIGURES].[].[CONFIRMEDPRODUCTION]","","Production Order","","000")</f>
        <v>Production Order</v>
      </c>
      <c r="AU483" s="2">
        <v>855.17200000000003</v>
      </c>
      <c r="AW483" s="2">
        <v>1189.655</v>
      </c>
      <c r="AY483" s="2">
        <v>548.27599999999995</v>
      </c>
    </row>
    <row r="484" spans="1:52" x14ac:dyDescent="0.35">
      <c r="A484" s="2" t="str">
        <f xml:space="preserve"> _xll.EPMOlapMemberO("[LOCID].[].[Munich plant]","","Munich plant","","000")</f>
        <v>Munich plant</v>
      </c>
      <c r="B484" s="2" t="str">
        <f xml:space="preserve"> _xll.EPMOlapMemberO("[PRDID].[].[999-72392-0007]","","999-72392-0007","","000")</f>
        <v>999-72392-0007</v>
      </c>
      <c r="C484" s="2" t="str">
        <f xml:space="preserve"> _xll.EPMOlapMemberO("[BRAND].[].[ FORTUNA]",""," FORTUNA","","000")</f>
        <v xml:space="preserve"> FORTUNA</v>
      </c>
      <c r="D484" s="2" t="str">
        <f xml:space="preserve"> _xll.EPMOlapMemberO("[AM2MARKETDESCR].[].[SPAIN]","","SPAIN","","000")</f>
        <v>SPAIN</v>
      </c>
      <c r="E484" s="2" t="str">
        <f xml:space="preserve"> _xll.EPMOlapMemberO("[AM2PARENTCUSTGROUP].[].[__NULL]","","(None)","","000")</f>
        <v>(None)</v>
      </c>
      <c r="F484" s="2" t="str">
        <f xml:space="preserve"> _xll.EPMOlapMemberO("[KEY_FIGURES].[].[CONFIRMEDPRODUCTION]","","Production Order","","000")</f>
        <v>Production Order</v>
      </c>
      <c r="AR484" s="2">
        <v>660</v>
      </c>
      <c r="AT484" s="2">
        <v>956.75699999999995</v>
      </c>
      <c r="AW484" s="2">
        <v>318.91899999999998</v>
      </c>
      <c r="AX484" s="2">
        <v>1781.0809999999999</v>
      </c>
    </row>
    <row r="485" spans="1:52" x14ac:dyDescent="0.35">
      <c r="A485" s="2" t="str">
        <f xml:space="preserve"> _xll.EPMOlapMemberO("[LOCID].[].[Munich plant]","","Munich plant","","000")</f>
        <v>Munich plant</v>
      </c>
      <c r="B485" s="2" t="str">
        <f xml:space="preserve"> _xll.EPMOlapMemberO("[PRDID].[].[999-72396-0010]","","999-72396-0010","","000")</f>
        <v>999-72396-0010</v>
      </c>
      <c r="C485" s="2" t="str">
        <f xml:space="preserve"> _xll.EPMOlapMemberO("[BRAND].[].[ FORTUNA]",""," FORTUNA","","000")</f>
        <v xml:space="preserve"> FORTUNA</v>
      </c>
      <c r="D485" s="2" t="str">
        <f xml:space="preserve"> _xll.EPMOlapMemberO("[AM2MARKETDESCR].[].[SPAIN]","","SPAIN","","000")</f>
        <v>SPAIN</v>
      </c>
      <c r="E485" s="2" t="str">
        <f xml:space="preserve"> _xll.EPMOlapMemberO("[AM2PARENTCUSTGROUP].[].[__NULL]","","(None)","","000")</f>
        <v>(None)</v>
      </c>
      <c r="F485" s="2" t="str">
        <f xml:space="preserve"> _xll.EPMOlapMemberO("[KEY_FIGURES].[].[CONFIRMEDPRODUCTION]","","Production Order","","000")</f>
        <v>Production Order</v>
      </c>
      <c r="AR485" s="2">
        <v>270</v>
      </c>
      <c r="AV485" s="2">
        <v>147.273</v>
      </c>
      <c r="AW485" s="2">
        <v>785.45500000000004</v>
      </c>
      <c r="AY485" s="2">
        <v>306.81799999999998</v>
      </c>
    </row>
    <row r="486" spans="1:52" x14ac:dyDescent="0.35">
      <c r="A486" s="2" t="str">
        <f xml:space="preserve"> _xll.EPMOlapMemberO("[LOCID].[].[Munich plant]","","Munich plant","","000")</f>
        <v>Munich plant</v>
      </c>
      <c r="B486" s="2" t="str">
        <f xml:space="preserve"> _xll.EPMOlapMemberO("[PRDID].[].[999-72675-0078]","","999-72675-0078","","000")</f>
        <v>999-72675-0078</v>
      </c>
      <c r="C486" s="2" t="str">
        <f xml:space="preserve"> _xll.EPMOlapMemberO("[BRAND].[].[ JPS]",""," JPS","","000")</f>
        <v xml:space="preserve"> JPS</v>
      </c>
      <c r="D486" s="2" t="str">
        <f xml:space="preserve"> _xll.EPMOlapMemberO("[AM2MARKETDESCR].[].[PORTUGAL]","","PORTUGAL","","000")</f>
        <v>PORTUGAL</v>
      </c>
      <c r="E486" s="2" t="str">
        <f xml:space="preserve"> _xll.EPMOlapMemberO("[AM2PARENTCUSTGROUP].[].[__NULL]","","(None)","","000")</f>
        <v>(None)</v>
      </c>
      <c r="F486" s="2" t="str">
        <f xml:space="preserve"> _xll.EPMOlapMemberO("[KEY_FIGURES].[].[CONFIRMEDPRODUCTION]","","Production Order","","000")</f>
        <v>Production Order</v>
      </c>
      <c r="AS486" s="2">
        <v>80</v>
      </c>
      <c r="AW486" s="2">
        <v>32.5</v>
      </c>
      <c r="AZ486" s="2">
        <v>52.5</v>
      </c>
    </row>
    <row r="487" spans="1:52" x14ac:dyDescent="0.35">
      <c r="A487" s="2" t="str">
        <f xml:space="preserve"> _xll.EPMOlapMemberO("[LOCID].[].[Munich plant]","","Munich plant","","000")</f>
        <v>Munich plant</v>
      </c>
      <c r="B487" s="2" t="str">
        <f xml:space="preserve"> _xll.EPMOlapMemberO("[PRDID].[].[999-72950-0065]","","999-72950-0065","","000")</f>
        <v>999-72950-0065</v>
      </c>
      <c r="C487" s="2" t="str">
        <f xml:space="preserve"> _xll.EPMOlapMemberO("[BRAND].[].[ PLAIN PACKAGING]",""," PLAIN PACKAGING","","000")</f>
        <v xml:space="preserve"> PLAIN PACKAGING</v>
      </c>
      <c r="D487" s="2" t="str">
        <f xml:space="preserve"> _xll.EPMOlapMemberO("[AM2MARKETDESCR].[].[BELGIUM]","","BELGIUM","","000")</f>
        <v>BELGIUM</v>
      </c>
      <c r="E487" s="2" t="str">
        <f xml:space="preserve"> _xll.EPMOlapMemberO("[AM2PARENTCUSTGROUP].[].[__NULL]","","(None)","","000")</f>
        <v>(None)</v>
      </c>
      <c r="F487" s="2" t="str">
        <f xml:space="preserve"> _xll.EPMOlapMemberO("[KEY_FIGURES].[].[CONFIRMEDPRODUCTION]","","Production Order","","000")</f>
        <v>Production Order</v>
      </c>
      <c r="AR487" s="2">
        <v>146.25</v>
      </c>
      <c r="AV487" s="2">
        <v>80</v>
      </c>
      <c r="AZ487" s="2">
        <v>87.5</v>
      </c>
    </row>
    <row r="488" spans="1:52" x14ac:dyDescent="0.35">
      <c r="A488" s="2" t="str">
        <f xml:space="preserve"> _xll.EPMOlapMemberO("[LOCID].[].[Munich plant]","","Munich plant","","000")</f>
        <v>Munich plant</v>
      </c>
      <c r="B488" s="2" t="str">
        <f xml:space="preserve"> _xll.EPMOlapMemberO("[PRDID].[].[999-72950-0066]","","999-72950-0066","","000")</f>
        <v>999-72950-0066</v>
      </c>
      <c r="C488" s="2" t="str">
        <f xml:space="preserve"> _xll.EPMOlapMemberO("[BRAND].[].[ PLAIN PACKAGING]",""," PLAIN PACKAGING","","000")</f>
        <v xml:space="preserve"> PLAIN PACKAGING</v>
      </c>
      <c r="D488" s="2" t="str">
        <f xml:space="preserve"> _xll.EPMOlapMemberO("[AM2MARKETDESCR].[].[BELGIUM]","","BELGIUM","","000")</f>
        <v>BELGIUM</v>
      </c>
      <c r="E488" s="2" t="str">
        <f xml:space="preserve"> _xll.EPMOlapMemberO("[AM2PARENTCUSTGROUP].[].[__NULL]","","(None)","","000")</f>
        <v>(None)</v>
      </c>
      <c r="F488" s="2" t="str">
        <f xml:space="preserve"> _xll.EPMOlapMemberO("[KEY_FIGURES].[].[CONFIRMEDPRODUCTION]","","Production Order","","000")</f>
        <v>Production Order</v>
      </c>
      <c r="AT488" s="2">
        <v>32.5</v>
      </c>
      <c r="AW488" s="2">
        <v>25</v>
      </c>
      <c r="AZ488" s="2">
        <v>30</v>
      </c>
    </row>
    <row r="489" spans="1:52" x14ac:dyDescent="0.35">
      <c r="A489" s="2" t="str">
        <f xml:space="preserve"> _xll.EPMOlapMemberO("[LOCID].[].[Munich plant]","","Munich plant","","000")</f>
        <v>Munich plant</v>
      </c>
      <c r="B489" s="2" t="str">
        <f xml:space="preserve"> _xll.EPMOlapMemberO("[PRDID].[].[999-72950-0067]","","999-72950-0067","","000")</f>
        <v>999-72950-0067</v>
      </c>
      <c r="C489" s="2" t="str">
        <f xml:space="preserve"> _xll.EPMOlapMemberO("[BRAND].[].[ PLAIN PACKAGING]",""," PLAIN PACKAGING","","000")</f>
        <v xml:space="preserve"> PLAIN PACKAGING</v>
      </c>
      <c r="D489" s="2" t="str">
        <f xml:space="preserve"> _xll.EPMOlapMemberO("[AM2MARKETDESCR].[].[BELGIUM]","","BELGIUM","","000")</f>
        <v>BELGIUM</v>
      </c>
      <c r="E489" s="2" t="str">
        <f xml:space="preserve"> _xll.EPMOlapMemberO("[AM2PARENTCUSTGROUP].[].[__NULL]","","(None)","","000")</f>
        <v>(None)</v>
      </c>
      <c r="F489" s="2" t="str">
        <f xml:space="preserve"> _xll.EPMOlapMemberO("[KEY_FIGURES].[].[CONFIRMEDPRODUCTION]","","Production Order","","000")</f>
        <v>Production Order</v>
      </c>
      <c r="AR489" s="2">
        <v>250</v>
      </c>
      <c r="AV489" s="2">
        <v>125</v>
      </c>
      <c r="AZ489" s="2">
        <v>140</v>
      </c>
    </row>
    <row r="490" spans="1:52" x14ac:dyDescent="0.35">
      <c r="A490" s="2" t="str">
        <f xml:space="preserve"> _xll.EPMOlapMemberO("[LOCID].[].[Munich plant]","","Munich plant","","000")</f>
        <v>Munich plant</v>
      </c>
      <c r="B490" s="2" t="str">
        <f xml:space="preserve"> _xll.EPMOlapMemberO("[PRDID].[].[999-72951-0998]","","999-72951-0998","","000")</f>
        <v>999-72951-0998</v>
      </c>
      <c r="C490" s="2" t="str">
        <f xml:space="preserve"> _xll.EPMOlapMemberO("[BRAND].[].[ PLAIN PACKAGING]",""," PLAIN PACKAGING","","000")</f>
        <v xml:space="preserve"> PLAIN PACKAGING</v>
      </c>
      <c r="D490" s="2" t="str">
        <f xml:space="preserve"> _xll.EPMOlapMemberO("[AM2MARKETDESCR].[].[BELGIUM]","","BELGIUM","","000")</f>
        <v>BELGIUM</v>
      </c>
      <c r="E490" s="2" t="str">
        <f xml:space="preserve"> _xll.EPMOlapMemberO("[AM2PARENTCUSTGROUP].[].[__NULL]","","(None)","","000")</f>
        <v>(None)</v>
      </c>
      <c r="F490" s="2" t="str">
        <f xml:space="preserve"> _xll.EPMOlapMemberO("[KEY_FIGURES].[].[CONFIRMEDPRODUCTION]","","Production Order","","000")</f>
        <v>Production Order</v>
      </c>
      <c r="AU490" s="2">
        <v>64.8</v>
      </c>
      <c r="AY490" s="2">
        <v>64.8</v>
      </c>
    </row>
    <row r="491" spans="1:52" x14ac:dyDescent="0.35">
      <c r="A491" s="2" t="str">
        <f xml:space="preserve"> _xll.EPMOlapMemberO("[LOCID].[].[Munich plant]","","Munich plant","","000")</f>
        <v>Munich plant</v>
      </c>
      <c r="B491" s="2" t="str">
        <f xml:space="preserve"> _xll.EPMOlapMemberO("[PRDID].[].[999-72951-0116]","","999-72951-0116","","000")</f>
        <v>999-72951-0116</v>
      </c>
      <c r="C491" s="2" t="str">
        <f xml:space="preserve"> _xll.EPMOlapMemberO("[BRAND].[].[ PLAIN PACKAGING]",""," PLAIN PACKAGING","","000")</f>
        <v xml:space="preserve"> PLAIN PACKAGING</v>
      </c>
      <c r="D491" s="2" t="str">
        <f xml:space="preserve"> _xll.EPMOlapMemberO("[AM2MARKETDESCR].[].[BELGIUM]","","BELGIUM","","000")</f>
        <v>BELGIUM</v>
      </c>
      <c r="E491" s="2" t="str">
        <f xml:space="preserve"> _xll.EPMOlapMemberO("[AM2PARENTCUSTGROUP].[].[__NULL]","","(None)","","000")</f>
        <v>(None)</v>
      </c>
      <c r="F491" s="2" t="str">
        <f xml:space="preserve"> _xll.EPMOlapMemberO("[KEY_FIGURES].[].[CONFIRMEDPRODUCTION]","","Production Order","","000")</f>
        <v>Production Order</v>
      </c>
      <c r="AT491" s="2">
        <v>86.4</v>
      </c>
      <c r="AX491" s="2">
        <v>97.2</v>
      </c>
    </row>
    <row r="492" spans="1:52" x14ac:dyDescent="0.35">
      <c r="A492" s="2" t="str">
        <f xml:space="preserve"> _xll.EPMOlapMemberO("[LOCID].[].[Munich plant]","","Munich plant","","000")</f>
        <v>Munich plant</v>
      </c>
      <c r="B492" s="2" t="str">
        <f xml:space="preserve"> _xll.EPMOlapMemberO("[PRDID].[].[999-72951-0125]","","999-72951-0125","","000")</f>
        <v>999-72951-0125</v>
      </c>
      <c r="C492" s="2" t="str">
        <f xml:space="preserve"> _xll.EPMOlapMemberO("[BRAND].[].[ PLAIN PACKAGING]",""," PLAIN PACKAGING","","000")</f>
        <v xml:space="preserve"> PLAIN PACKAGING</v>
      </c>
      <c r="D492" s="2" t="str">
        <f xml:space="preserve"> _xll.EPMOlapMemberO("[AM2MARKETDESCR].[].[BELGIUM]","","BELGIUM","","000")</f>
        <v>BELGIUM</v>
      </c>
      <c r="E492" s="2" t="str">
        <f xml:space="preserve"> _xll.EPMOlapMemberO("[AM2PARENTCUSTGROUP].[].[__NULL]","","(None)","","000")</f>
        <v>(None)</v>
      </c>
      <c r="F492" s="2" t="str">
        <f xml:space="preserve"> _xll.EPMOlapMemberO("[KEY_FIGURES].[].[INITIALINVENTORY]","","Stock","","000")</f>
        <v>Stock</v>
      </c>
      <c r="AQ492" s="2">
        <v>168</v>
      </c>
    </row>
    <row r="493" spans="1:52" x14ac:dyDescent="0.35">
      <c r="A493" s="2" t="str">
        <f xml:space="preserve"> _xll.EPMOlapMemberO("[LOCID].[].[Munich plant]","","Munich plant","","000")</f>
        <v>Munich plant</v>
      </c>
      <c r="B493" s="2" t="str">
        <f xml:space="preserve"> _xll.EPMOlapMemberO("[PRDID].[].[999-72951-0125]","","999-72951-0125","","000")</f>
        <v>999-72951-0125</v>
      </c>
      <c r="C493" s="2" t="str">
        <f xml:space="preserve"> _xll.EPMOlapMemberO("[BRAND].[].[ PLAIN PACKAGING]",""," PLAIN PACKAGING","","000")</f>
        <v xml:space="preserve"> PLAIN PACKAGING</v>
      </c>
      <c r="D493" s="2" t="str">
        <f xml:space="preserve"> _xll.EPMOlapMemberO("[AM2MARKETDESCR].[].[BELGIUM]","","BELGIUM","","000")</f>
        <v>BELGIUM</v>
      </c>
      <c r="E493" s="2" t="str">
        <f xml:space="preserve"> _xll.EPMOlapMemberO("[AM2PARENTCUSTGROUP].[].[__NULL]","","(None)","","000")</f>
        <v>(None)</v>
      </c>
      <c r="F493" s="2" t="str">
        <f xml:space="preserve"> _xll.EPMOlapMemberO("[KEY_FIGURES].[].[CONFIRMEDPRODUCTION]","","Production Order","","000")</f>
        <v>Production Order</v>
      </c>
      <c r="AU493" s="2">
        <v>172.8</v>
      </c>
      <c r="AY493" s="2">
        <v>183.6</v>
      </c>
    </row>
    <row r="494" spans="1:52" x14ac:dyDescent="0.35">
      <c r="A494" s="2" t="str">
        <f xml:space="preserve"> _xll.EPMOlapMemberO("[LOCID].[].[Munich plant]","","Munich plant","","000")</f>
        <v>Munich plant</v>
      </c>
      <c r="B494" s="2" t="str">
        <f xml:space="preserve"> _xll.EPMOlapMemberO("[PRDID].[].[999-72951-0126]","","999-72951-0126","","000")</f>
        <v>999-72951-0126</v>
      </c>
      <c r="C494" s="2" t="str">
        <f xml:space="preserve"> _xll.EPMOlapMemberO("[BRAND].[].[ PLAIN PACKAGING]",""," PLAIN PACKAGING","","000")</f>
        <v xml:space="preserve"> PLAIN PACKAGING</v>
      </c>
      <c r="D494" s="2" t="str">
        <f xml:space="preserve"> _xll.EPMOlapMemberO("[AM2MARKETDESCR].[].[BELGIUM]","","BELGIUM","","000")</f>
        <v>BELGIUM</v>
      </c>
      <c r="E494" s="2" t="str">
        <f xml:space="preserve"> _xll.EPMOlapMemberO("[AM2PARENTCUSTGROUP].[].[__NULL]","","(None)","","000")</f>
        <v>(None)</v>
      </c>
      <c r="F494" s="2" t="str">
        <f xml:space="preserve"> _xll.EPMOlapMemberO("[KEY_FIGURES].[].[CONFIRMEDPRODUCTION]","","Production Order","","000")</f>
        <v>Production Order</v>
      </c>
      <c r="AU494" s="2">
        <v>90</v>
      </c>
      <c r="AY494" s="2">
        <v>101.25</v>
      </c>
    </row>
    <row r="495" spans="1:52" x14ac:dyDescent="0.35">
      <c r="A495" s="2" t="str">
        <f xml:space="preserve"> _xll.EPMOlapMemberO("[LOCID].[].[Munich plant]","","Munich plant","","000")</f>
        <v>Munich plant</v>
      </c>
      <c r="B495" s="2" t="str">
        <f xml:space="preserve"> _xll.EPMOlapMemberO("[PRDID].[].[999-72951-0127]","","999-72951-0127","","000")</f>
        <v>999-72951-0127</v>
      </c>
      <c r="C495" s="2" t="str">
        <f xml:space="preserve"> _xll.EPMOlapMemberO("[BRAND].[].[ PLAIN PACKAGING]",""," PLAIN PACKAGING","","000")</f>
        <v xml:space="preserve"> PLAIN PACKAGING</v>
      </c>
      <c r="D495" s="2" t="str">
        <f xml:space="preserve"> _xll.EPMOlapMemberO("[AM2MARKETDESCR].[].[BELGIUM]","","BELGIUM","","000")</f>
        <v>BELGIUM</v>
      </c>
      <c r="E495" s="2" t="str">
        <f xml:space="preserve"> _xll.EPMOlapMemberO("[AM2PARENTCUSTGROUP].[].[__NULL]","","(None)","","000")</f>
        <v>(None)</v>
      </c>
      <c r="F495" s="2" t="str">
        <f xml:space="preserve"> _xll.EPMOlapMemberO("[KEY_FIGURES].[].[CONFIRMEDPRODUCTION]","","Production Order","","000")</f>
        <v>Production Order</v>
      </c>
      <c r="AR495" s="2">
        <v>108.75</v>
      </c>
      <c r="AU495" s="2">
        <v>33.75</v>
      </c>
      <c r="AX495" s="2">
        <v>45</v>
      </c>
    </row>
    <row r="496" spans="1:52" x14ac:dyDescent="0.35">
      <c r="A496" s="2" t="str">
        <f xml:space="preserve"> _xll.EPMOlapMemberO("[LOCID].[].[Munich plant]","","Munich plant","","000")</f>
        <v>Munich plant</v>
      </c>
      <c r="B496" s="2" t="str">
        <f xml:space="preserve"> _xll.EPMOlapMemberO("[PRDID].[].[999-72951-0129]","","999-72951-0129","","000")</f>
        <v>999-72951-0129</v>
      </c>
      <c r="C496" s="2" t="str">
        <f xml:space="preserve"> _xll.EPMOlapMemberO("[BRAND].[].[ PLAIN PACKAGING]",""," PLAIN PACKAGING","","000")</f>
        <v xml:space="preserve"> PLAIN PACKAGING</v>
      </c>
      <c r="D496" s="2" t="str">
        <f xml:space="preserve"> _xll.EPMOlapMemberO("[AM2MARKETDESCR].[].[BELGIUM]","","BELGIUM","","000")</f>
        <v>BELGIUM</v>
      </c>
      <c r="E496" s="2" t="str">
        <f xml:space="preserve"> _xll.EPMOlapMemberO("[AM2PARENTCUSTGROUP].[].[__NULL]","","(None)","","000")</f>
        <v>(None)</v>
      </c>
      <c r="F496" s="2" t="str">
        <f xml:space="preserve"> _xll.EPMOlapMemberO("[KEY_FIGURES].[].[CONFIRMEDPRODUCTION]","","Production Order","","000")</f>
        <v>Production Order</v>
      </c>
      <c r="AS496" s="2">
        <v>420</v>
      </c>
      <c r="AV496" s="2">
        <v>464.4</v>
      </c>
      <c r="AZ496" s="2">
        <v>486</v>
      </c>
    </row>
    <row r="497" spans="1:52" x14ac:dyDescent="0.35">
      <c r="A497" s="2" t="str">
        <f xml:space="preserve"> _xll.EPMOlapMemberO("[LOCID].[].[Munich plant]","","Munich plant","","000")</f>
        <v>Munich plant</v>
      </c>
      <c r="B497" s="2" t="str">
        <f xml:space="preserve"> _xll.EPMOlapMemberO("[PRDID].[].[999-72951-0130]","","999-72951-0130","","000")</f>
        <v>999-72951-0130</v>
      </c>
      <c r="C497" s="2" t="str">
        <f xml:space="preserve"> _xll.EPMOlapMemberO("[BRAND].[].[ PLAIN PACKAGING]",""," PLAIN PACKAGING","","000")</f>
        <v xml:space="preserve"> PLAIN PACKAGING</v>
      </c>
      <c r="D497" s="2" t="str">
        <f xml:space="preserve"> _xll.EPMOlapMemberO("[AM2MARKETDESCR].[].[BELGIUM]","","BELGIUM","","000")</f>
        <v>BELGIUM</v>
      </c>
      <c r="E497" s="2" t="str">
        <f xml:space="preserve"> _xll.EPMOlapMemberO("[AM2PARENTCUSTGROUP].[].[__NULL]","","(None)","","000")</f>
        <v>(None)</v>
      </c>
      <c r="F497" s="2" t="str">
        <f xml:space="preserve"> _xll.EPMOlapMemberO("[KEY_FIGURES].[].[CONFIRMEDPRODUCTION]","","Production Order","","000")</f>
        <v>Production Order</v>
      </c>
      <c r="AR497" s="2">
        <v>118</v>
      </c>
      <c r="AV497" s="2">
        <v>75.599999999999994</v>
      </c>
      <c r="AZ497" s="2">
        <v>64.8</v>
      </c>
    </row>
    <row r="498" spans="1:52" x14ac:dyDescent="0.35">
      <c r="A498" s="2" t="str">
        <f xml:space="preserve"> _xll.EPMOlapMemberO("[LOCID].[].[Munich plant]","","Munich plant","","000")</f>
        <v>Munich plant</v>
      </c>
      <c r="B498" s="2" t="str">
        <f xml:space="preserve"> _xll.EPMOlapMemberO("[PRDID].[].[999-72951-0133]","","999-72951-0133","","000")</f>
        <v>999-72951-0133</v>
      </c>
      <c r="C498" s="2" t="str">
        <f xml:space="preserve"> _xll.EPMOlapMemberO("[BRAND].[].[ PLAIN PACKAGING]",""," PLAIN PACKAGING","","000")</f>
        <v xml:space="preserve"> PLAIN PACKAGING</v>
      </c>
      <c r="D498" s="2" t="str">
        <f xml:space="preserve"> _xll.EPMOlapMemberO("[AM2MARKETDESCR].[].[NETHERLANDS]","","NETHERLANDS","","000")</f>
        <v>NETHERLANDS</v>
      </c>
      <c r="E498" s="2" t="str">
        <f xml:space="preserve"> _xll.EPMOlapMemberO("[AM2PARENTCUSTGROUP].[].[__NULL]","","(None)","","000")</f>
        <v>(None)</v>
      </c>
      <c r="F498" s="2" t="str">
        <f xml:space="preserve"> _xll.EPMOlapMemberO("[KEY_FIGURES].[].[INITIALINVENTORY]","","Stock","","000")</f>
        <v>Stock</v>
      </c>
      <c r="AQ498" s="2">
        <v>168</v>
      </c>
    </row>
    <row r="499" spans="1:52" x14ac:dyDescent="0.35">
      <c r="A499" s="2" t="str">
        <f xml:space="preserve"> _xll.EPMOlapMemberO("[LOCID].[].[Munich plant]","","Munich plant","","000")</f>
        <v>Munich plant</v>
      </c>
      <c r="B499" s="2" t="str">
        <f xml:space="preserve"> _xll.EPMOlapMemberO("[PRDID].[].[999-72951-0133]","","999-72951-0133","","000")</f>
        <v>999-72951-0133</v>
      </c>
      <c r="C499" s="2" t="str">
        <f xml:space="preserve"> _xll.EPMOlapMemberO("[BRAND].[].[ PLAIN PACKAGING]",""," PLAIN PACKAGING","","000")</f>
        <v xml:space="preserve"> PLAIN PACKAGING</v>
      </c>
      <c r="D499" s="2" t="str">
        <f xml:space="preserve"> _xll.EPMOlapMemberO("[AM2MARKETDESCR].[].[NETHERLANDS]","","NETHERLANDS","","000")</f>
        <v>NETHERLANDS</v>
      </c>
      <c r="E499" s="2" t="str">
        <f xml:space="preserve"> _xll.EPMOlapMemberO("[AM2PARENTCUSTGROUP].[].[__NULL]","","(None)","","000")</f>
        <v>(None)</v>
      </c>
      <c r="F499" s="2" t="str">
        <f xml:space="preserve"> _xll.EPMOlapMemberO("[KEY_FIGURES].[].[CONFIRMEDPRODUCTION]","","Production Order","","000")</f>
        <v>Production Order</v>
      </c>
      <c r="AU499" s="2">
        <v>248.4</v>
      </c>
      <c r="AY499" s="2">
        <v>324</v>
      </c>
    </row>
    <row r="500" spans="1:52" x14ac:dyDescent="0.35">
      <c r="A500" s="2" t="str">
        <f xml:space="preserve"> _xll.EPMOlapMemberO("[LOCID].[].[Munich plant]","","Munich plant","","000")</f>
        <v>Munich plant</v>
      </c>
      <c r="B500" s="2" t="str">
        <f xml:space="preserve"> _xll.EPMOlapMemberO("[PRDID].[].[999-72951-0134]","","999-72951-0134","","000")</f>
        <v>999-72951-0134</v>
      </c>
      <c r="C500" s="2" t="str">
        <f xml:space="preserve"> _xll.EPMOlapMemberO("[BRAND].[].[ PLAIN PACKAGING]",""," PLAIN PACKAGING","","000")</f>
        <v xml:space="preserve"> PLAIN PACKAGING</v>
      </c>
      <c r="D500" s="2" t="str">
        <f xml:space="preserve"> _xll.EPMOlapMemberO("[AM2MARKETDESCR].[].[NETHERLANDS]","","NETHERLANDS","","000")</f>
        <v>NETHERLANDS</v>
      </c>
      <c r="E500" s="2" t="str">
        <f xml:space="preserve"> _xll.EPMOlapMemberO("[AM2PARENTCUSTGROUP].[].[__NULL]","","(None)","","000")</f>
        <v>(None)</v>
      </c>
      <c r="F500" s="2" t="str">
        <f xml:space="preserve"> _xll.EPMOlapMemberO("[KEY_FIGURES].[].[CONFIRMEDPRODUCTION]","","Production Order","","000")</f>
        <v>Production Order</v>
      </c>
      <c r="AU500" s="2">
        <v>118.8</v>
      </c>
      <c r="AY500" s="2">
        <v>151.19999999999999</v>
      </c>
    </row>
    <row r="501" spans="1:52" x14ac:dyDescent="0.35">
      <c r="A501" s="2" t="str">
        <f xml:space="preserve"> _xll.EPMOlapMemberO("[LOCID].[].[Munich plant]","","Munich plant","","000")</f>
        <v>Munich plant</v>
      </c>
      <c r="B501" s="2" t="str">
        <f xml:space="preserve"> _xll.EPMOlapMemberO("[PRDID].[].[999-72951-0135]","","999-72951-0135","","000")</f>
        <v>999-72951-0135</v>
      </c>
      <c r="C501" s="2" t="str">
        <f xml:space="preserve"> _xll.EPMOlapMemberO("[BRAND].[].[ PLAIN PACKAGING]",""," PLAIN PACKAGING","","000")</f>
        <v xml:space="preserve"> PLAIN PACKAGING</v>
      </c>
      <c r="D501" s="2" t="str">
        <f xml:space="preserve"> _xll.EPMOlapMemberO("[AM2MARKETDESCR].[].[NETHERLANDS]","","NETHERLANDS","","000")</f>
        <v>NETHERLANDS</v>
      </c>
      <c r="E501" s="2" t="str">
        <f xml:space="preserve"> _xll.EPMOlapMemberO("[AM2PARENTCUSTGROUP].[].[__NULL]","","(None)","","000")</f>
        <v>(None)</v>
      </c>
      <c r="F501" s="2" t="str">
        <f xml:space="preserve"> _xll.EPMOlapMemberO("[KEY_FIGURES].[].[INITIALINVENTORY]","","Stock","","000")</f>
        <v>Stock</v>
      </c>
      <c r="AQ501" s="2">
        <v>504</v>
      </c>
    </row>
    <row r="502" spans="1:52" x14ac:dyDescent="0.35">
      <c r="A502" s="2" t="str">
        <f xml:space="preserve"> _xll.EPMOlapMemberO("[LOCID].[].[Munich plant]","","Munich plant","","000")</f>
        <v>Munich plant</v>
      </c>
      <c r="B502" s="2" t="str">
        <f xml:space="preserve"> _xll.EPMOlapMemberO("[PRDID].[].[999-72951-0135]","","999-72951-0135","","000")</f>
        <v>999-72951-0135</v>
      </c>
      <c r="C502" s="2" t="str">
        <f xml:space="preserve"> _xll.EPMOlapMemberO("[BRAND].[].[ PLAIN PACKAGING]",""," PLAIN PACKAGING","","000")</f>
        <v xml:space="preserve"> PLAIN PACKAGING</v>
      </c>
      <c r="D502" s="2" t="str">
        <f xml:space="preserve"> _xll.EPMOlapMemberO("[AM2MARKETDESCR].[].[NETHERLANDS]","","NETHERLANDS","","000")</f>
        <v>NETHERLANDS</v>
      </c>
      <c r="E502" s="2" t="str">
        <f xml:space="preserve"> _xll.EPMOlapMemberO("[AM2PARENTCUSTGROUP].[].[__NULL]","","(None)","","000")</f>
        <v>(None)</v>
      </c>
      <c r="F502" s="2" t="str">
        <f xml:space="preserve"> _xll.EPMOlapMemberO("[KEY_FIGURES].[].[CONFIRMEDPRODUCTION]","","Production Order","","000")</f>
        <v>Production Order</v>
      </c>
      <c r="AT502" s="2">
        <v>540</v>
      </c>
      <c r="AW502" s="2">
        <v>464.4</v>
      </c>
      <c r="AZ502" s="2">
        <v>604.79999999999995</v>
      </c>
    </row>
    <row r="503" spans="1:52" x14ac:dyDescent="0.35">
      <c r="A503" s="2" t="str">
        <f xml:space="preserve"> _xll.EPMOlapMemberO("[LOCID].[].[Munich plant]","","Munich plant","","000")</f>
        <v>Munich plant</v>
      </c>
      <c r="B503" s="2" t="str">
        <f xml:space="preserve"> _xll.EPMOlapMemberO("[PRDID].[].[999-72951-0136]","","999-72951-0136","","000")</f>
        <v>999-72951-0136</v>
      </c>
      <c r="C503" s="2" t="str">
        <f xml:space="preserve"> _xll.EPMOlapMemberO("[BRAND].[].[ PLAIN PACKAGING]",""," PLAIN PACKAGING","","000")</f>
        <v xml:space="preserve"> PLAIN PACKAGING</v>
      </c>
      <c r="D503" s="2" t="str">
        <f xml:space="preserve"> _xll.EPMOlapMemberO("[AM2MARKETDESCR].[].[NETHERLANDS]","","NETHERLANDS","","000")</f>
        <v>NETHERLANDS</v>
      </c>
      <c r="E503" s="2" t="str">
        <f xml:space="preserve"> _xll.EPMOlapMemberO("[AM2PARENTCUSTGROUP].[].[__NULL]","","(None)","","000")</f>
        <v>(None)</v>
      </c>
      <c r="F503" s="2" t="str">
        <f xml:space="preserve"> _xll.EPMOlapMemberO("[KEY_FIGURES].[].[INITIALINVENTORY]","","Stock","","000")</f>
        <v>Stock</v>
      </c>
      <c r="AQ503" s="2">
        <v>84</v>
      </c>
    </row>
    <row r="504" spans="1:52" x14ac:dyDescent="0.35">
      <c r="A504" s="2" t="str">
        <f xml:space="preserve"> _xll.EPMOlapMemberO("[LOCID].[].[Munich plant]","","Munich plant","","000")</f>
        <v>Munich plant</v>
      </c>
      <c r="B504" s="2" t="str">
        <f xml:space="preserve"> _xll.EPMOlapMemberO("[PRDID].[].[999-72951-0136]","","999-72951-0136","","000")</f>
        <v>999-72951-0136</v>
      </c>
      <c r="C504" s="2" t="str">
        <f xml:space="preserve"> _xll.EPMOlapMemberO("[BRAND].[].[ PLAIN PACKAGING]",""," PLAIN PACKAGING","","000")</f>
        <v xml:space="preserve"> PLAIN PACKAGING</v>
      </c>
      <c r="D504" s="2" t="str">
        <f xml:space="preserve"> _xll.EPMOlapMemberO("[AM2MARKETDESCR].[].[NETHERLANDS]","","NETHERLANDS","","000")</f>
        <v>NETHERLANDS</v>
      </c>
      <c r="E504" s="2" t="str">
        <f xml:space="preserve"> _xll.EPMOlapMemberO("[AM2PARENTCUSTGROUP].[].[__NULL]","","(None)","","000")</f>
        <v>(None)</v>
      </c>
      <c r="F504" s="2" t="str">
        <f xml:space="preserve"> _xll.EPMOlapMemberO("[KEY_FIGURES].[].[CONFIRMEDPRODUCTION]","","Production Order","","000")</f>
        <v>Production Order</v>
      </c>
      <c r="AR504" s="2">
        <v>114.68600000000001</v>
      </c>
      <c r="AU504" s="2">
        <v>43.2</v>
      </c>
      <c r="AX504" s="2">
        <v>64.8</v>
      </c>
    </row>
    <row r="505" spans="1:52" x14ac:dyDescent="0.35">
      <c r="A505" s="2" t="str">
        <f xml:space="preserve"> _xll.EPMOlapMemberO("[LOCID].[].[Munich plant]","","Munich plant","","000")</f>
        <v>Munich plant</v>
      </c>
      <c r="B505" s="2" t="str">
        <f xml:space="preserve"> _xll.EPMOlapMemberO("[PRDID].[].[999-72951-0137]","","999-72951-0137","","000")</f>
        <v>999-72951-0137</v>
      </c>
      <c r="C505" s="2" t="str">
        <f xml:space="preserve"> _xll.EPMOlapMemberO("[BRAND].[].[ PLAIN PACKAGING]",""," PLAIN PACKAGING","","000")</f>
        <v xml:space="preserve"> PLAIN PACKAGING</v>
      </c>
      <c r="D505" s="2" t="str">
        <f xml:space="preserve"> _xll.EPMOlapMemberO("[AM2MARKETDESCR].[].[FINLAND]","","FINLAND","","000")</f>
        <v>FINLAND</v>
      </c>
      <c r="E505" s="2" t="str">
        <f xml:space="preserve"> _xll.EPMOlapMemberO("[AM2PARENTCUSTGROUP].[].[__NULL]","","(None)","","000")</f>
        <v>(None)</v>
      </c>
      <c r="F505" s="2" t="str">
        <f xml:space="preserve"> _xll.EPMOlapMemberO("[KEY_FIGURES].[].[CONFIRMEDPRODUCTION]","","Production Order","","000")</f>
        <v>Production Order</v>
      </c>
      <c r="AV505" s="2">
        <v>551.25</v>
      </c>
      <c r="AZ505" s="2">
        <v>585</v>
      </c>
    </row>
    <row r="506" spans="1:52" x14ac:dyDescent="0.35">
      <c r="A506" s="2" t="str">
        <f xml:space="preserve"> _xll.EPMOlapMemberO("[LOCID].[].[Munich plant]","","Munich plant","","000")</f>
        <v>Munich plant</v>
      </c>
      <c r="B506" s="2" t="str">
        <f xml:space="preserve"> _xll.EPMOlapMemberO("[PRDID].[].[999-72951-0138]","","999-72951-0138","","000")</f>
        <v>999-72951-0138</v>
      </c>
      <c r="C506" s="2" t="str">
        <f xml:space="preserve"> _xll.EPMOlapMemberO("[BRAND].[].[ PLAIN PACKAGING]",""," PLAIN PACKAGING","","000")</f>
        <v xml:space="preserve"> PLAIN PACKAGING</v>
      </c>
      <c r="D506" s="2" t="str">
        <f xml:space="preserve"> _xll.EPMOlapMemberO("[AM2MARKETDESCR].[].[FINLAND]","","FINLAND","","000")</f>
        <v>FINLAND</v>
      </c>
      <c r="E506" s="2" t="str">
        <f xml:space="preserve"> _xll.EPMOlapMemberO("[AM2PARENTCUSTGROUP].[].[__NULL]","","(None)","","000")</f>
        <v>(None)</v>
      </c>
      <c r="F506" s="2" t="str">
        <f xml:space="preserve"> _xll.EPMOlapMemberO("[KEY_FIGURES].[].[INITIALINVENTORY]","","Stock","","000")</f>
        <v>Stock</v>
      </c>
      <c r="AQ506" s="2">
        <v>336</v>
      </c>
    </row>
    <row r="507" spans="1:52" x14ac:dyDescent="0.35">
      <c r="A507" s="2" t="str">
        <f xml:space="preserve"> _xll.EPMOlapMemberO("[LOCID].[].[Munich plant]","","Munich plant","","000")</f>
        <v>Munich plant</v>
      </c>
      <c r="B507" s="2" t="str">
        <f xml:space="preserve"> _xll.EPMOlapMemberO("[PRDID].[].[999-72951-0138]","","999-72951-0138","","000")</f>
        <v>999-72951-0138</v>
      </c>
      <c r="C507" s="2" t="str">
        <f xml:space="preserve"> _xll.EPMOlapMemberO("[BRAND].[].[ PLAIN PACKAGING]",""," PLAIN PACKAGING","","000")</f>
        <v xml:space="preserve"> PLAIN PACKAGING</v>
      </c>
      <c r="D507" s="2" t="str">
        <f xml:space="preserve"> _xll.EPMOlapMemberO("[AM2MARKETDESCR].[].[FINLAND]","","FINLAND","","000")</f>
        <v>FINLAND</v>
      </c>
      <c r="E507" s="2" t="str">
        <f xml:space="preserve"> _xll.EPMOlapMemberO("[AM2PARENTCUSTGROUP].[].[__NULL]","","(None)","","000")</f>
        <v>(None)</v>
      </c>
      <c r="F507" s="2" t="str">
        <f xml:space="preserve"> _xll.EPMOlapMemberO("[KEY_FIGURES].[].[CONFIRMEDPRODUCTION]","","Production Order","","000")</f>
        <v>Production Order</v>
      </c>
      <c r="AU507" s="2">
        <v>292.5</v>
      </c>
      <c r="AY507" s="2">
        <v>270</v>
      </c>
    </row>
    <row r="508" spans="1:52" x14ac:dyDescent="0.35">
      <c r="A508" s="2" t="str">
        <f xml:space="preserve"> _xll.EPMOlapMemberO("[LOCID].[].[Munich plant]","","Munich plant","","000")</f>
        <v>Munich plant</v>
      </c>
      <c r="B508" s="2" t="str">
        <f xml:space="preserve"> _xll.EPMOlapMemberO("[PRDID].[].[999-72951-0140]","","999-72951-0140","","000")</f>
        <v>999-72951-0140</v>
      </c>
      <c r="C508" s="2" t="str">
        <f xml:space="preserve"> _xll.EPMOlapMemberO("[BRAND].[].[ PLAIN PACKAGING]",""," PLAIN PACKAGING","","000")</f>
        <v xml:space="preserve"> PLAIN PACKAGING</v>
      </c>
      <c r="D508" s="2" t="str">
        <f xml:space="preserve"> _xll.EPMOlapMemberO("[AM2MARKETDESCR].[].[FINLAND]","","FINLAND","","000")</f>
        <v>FINLAND</v>
      </c>
      <c r="E508" s="2" t="str">
        <f xml:space="preserve"> _xll.EPMOlapMemberO("[AM2PARENTCUSTGROUP].[].[__NULL]","","(None)","","000")</f>
        <v>(None)</v>
      </c>
      <c r="F508" s="2" t="str">
        <f xml:space="preserve"> _xll.EPMOlapMemberO("[KEY_FIGURES].[].[INITIALINVENTORY]","","Stock","","000")</f>
        <v>Stock</v>
      </c>
      <c r="AQ508" s="2">
        <v>420</v>
      </c>
    </row>
    <row r="509" spans="1:52" x14ac:dyDescent="0.35">
      <c r="A509" s="2" t="str">
        <f xml:space="preserve"> _xll.EPMOlapMemberO("[LOCID].[].[Munich plant]","","Munich plant","","000")</f>
        <v>Munich plant</v>
      </c>
      <c r="B509" s="2" t="str">
        <f xml:space="preserve"> _xll.EPMOlapMemberO("[PRDID].[].[999-72951-0140]","","999-72951-0140","","000")</f>
        <v>999-72951-0140</v>
      </c>
      <c r="C509" s="2" t="str">
        <f xml:space="preserve"> _xll.EPMOlapMemberO("[BRAND].[].[ PLAIN PACKAGING]",""," PLAIN PACKAGING","","000")</f>
        <v xml:space="preserve"> PLAIN PACKAGING</v>
      </c>
      <c r="D509" s="2" t="str">
        <f xml:space="preserve"> _xll.EPMOlapMemberO("[AM2MARKETDESCR].[].[FINLAND]","","FINLAND","","000")</f>
        <v>FINLAND</v>
      </c>
      <c r="E509" s="2" t="str">
        <f xml:space="preserve"> _xll.EPMOlapMemberO("[AM2PARENTCUSTGROUP].[].[__NULL]","","(None)","","000")</f>
        <v>(None)</v>
      </c>
      <c r="F509" s="2" t="str">
        <f xml:space="preserve"> _xll.EPMOlapMemberO("[KEY_FIGURES].[].[CONFIRMEDPRODUCTION]","","Production Order","","000")</f>
        <v>Production Order</v>
      </c>
      <c r="AV509" s="2">
        <v>416.25</v>
      </c>
      <c r="AZ509" s="2">
        <v>438.75</v>
      </c>
    </row>
    <row r="510" spans="1:52" x14ac:dyDescent="0.35">
      <c r="A510" s="2" t="str">
        <f xml:space="preserve"> _xll.EPMOlapMemberO("[LOCID].[].[Munich plant]","","Munich plant","","000")</f>
        <v>Munich plant</v>
      </c>
      <c r="B510" s="2" t="str">
        <f xml:space="preserve"> _xll.EPMOlapMemberO("[PRDID].[].[999-72951-0141]","","999-72951-0141","","000")</f>
        <v>999-72951-0141</v>
      </c>
      <c r="C510" s="2" t="str">
        <f xml:space="preserve"> _xll.EPMOlapMemberO("[BRAND].[].[ PLAIN PACKAGING]",""," PLAIN PACKAGING","","000")</f>
        <v xml:space="preserve"> PLAIN PACKAGING</v>
      </c>
      <c r="D510" s="2" t="str">
        <f xml:space="preserve"> _xll.EPMOlapMemberO("[AM2MARKETDESCR].[].[FINLAND]","","FINLAND","","000")</f>
        <v>FINLAND</v>
      </c>
      <c r="E510" s="2" t="str">
        <f xml:space="preserve"> _xll.EPMOlapMemberO("[AM2PARENTCUSTGROUP].[].[__NULL]","","(None)","","000")</f>
        <v>(None)</v>
      </c>
      <c r="F510" s="2" t="str">
        <f xml:space="preserve"> _xll.EPMOlapMemberO("[KEY_FIGURES].[].[CONFIRMEDPRODUCTION]","","Production Order","","000")</f>
        <v>Production Order</v>
      </c>
      <c r="AS510" s="2">
        <v>579.375</v>
      </c>
      <c r="AW510" s="2">
        <v>315</v>
      </c>
    </row>
    <row r="511" spans="1:52" x14ac:dyDescent="0.35">
      <c r="A511" s="2" t="str">
        <f xml:space="preserve"> _xll.EPMOlapMemberO("[LOCID].[].[Munich plant]","","Munich plant","","000")</f>
        <v>Munich plant</v>
      </c>
      <c r="B511" s="2" t="str">
        <f xml:space="preserve"> _xll.EPMOlapMemberO("[PRDID].[].[999-72951-0142]","","999-72951-0142","","000")</f>
        <v>999-72951-0142</v>
      </c>
      <c r="C511" s="2" t="str">
        <f xml:space="preserve"> _xll.EPMOlapMemberO("[BRAND].[].[ PLAIN PACKAGING]",""," PLAIN PACKAGING","","000")</f>
        <v xml:space="preserve"> PLAIN PACKAGING</v>
      </c>
      <c r="D511" s="2" t="str">
        <f xml:space="preserve"> _xll.EPMOlapMemberO("[AM2MARKETDESCR].[].[IRELAND]","","IRELAND","","000")</f>
        <v>IRELAND</v>
      </c>
      <c r="E511" s="2" t="str">
        <f xml:space="preserve"> _xll.EPMOlapMemberO("[AM2PARENTCUSTGROUP].[].[__NULL]","","(None)","","000")</f>
        <v>(None)</v>
      </c>
      <c r="F511" s="2" t="str">
        <f xml:space="preserve"> _xll.EPMOlapMemberO("[KEY_FIGURES].[].[INITIALINVENTORY]","","Stock","","000")</f>
        <v>Stock</v>
      </c>
      <c r="AQ511" s="2">
        <v>84</v>
      </c>
    </row>
    <row r="512" spans="1:52" x14ac:dyDescent="0.35">
      <c r="A512" s="2" t="str">
        <f xml:space="preserve"> _xll.EPMOlapMemberO("[LOCID].[].[Munich plant]","","Munich plant","","000")</f>
        <v>Munich plant</v>
      </c>
      <c r="B512" s="2" t="str">
        <f xml:space="preserve"> _xll.EPMOlapMemberO("[PRDID].[].[999-72951-0142]","","999-72951-0142","","000")</f>
        <v>999-72951-0142</v>
      </c>
      <c r="C512" s="2" t="str">
        <f xml:space="preserve"> _xll.EPMOlapMemberO("[BRAND].[].[ PLAIN PACKAGING]",""," PLAIN PACKAGING","","000")</f>
        <v xml:space="preserve"> PLAIN PACKAGING</v>
      </c>
      <c r="D512" s="2" t="str">
        <f xml:space="preserve"> _xll.EPMOlapMemberO("[AM2MARKETDESCR].[].[IRELAND]","","IRELAND","","000")</f>
        <v>IRELAND</v>
      </c>
      <c r="E512" s="2" t="str">
        <f xml:space="preserve"> _xll.EPMOlapMemberO("[AM2PARENTCUSTGROUP].[].[__NULL]","","(None)","","000")</f>
        <v>(None)</v>
      </c>
      <c r="F512" s="2" t="str">
        <f xml:space="preserve"> _xll.EPMOlapMemberO("[KEY_FIGURES].[].[CONFIRMEDPRODUCTION]","","Production Order","","000")</f>
        <v>Production Order</v>
      </c>
      <c r="AT512" s="2">
        <v>339.33300000000003</v>
      </c>
      <c r="AW512" s="2">
        <v>205.2</v>
      </c>
      <c r="AZ512" s="2">
        <v>237.6</v>
      </c>
    </row>
    <row r="513" spans="1:52" x14ac:dyDescent="0.35">
      <c r="A513" s="2" t="str">
        <f xml:space="preserve"> _xll.EPMOlapMemberO("[LOCID].[].[Munich plant]","","Munich plant","","000")</f>
        <v>Munich plant</v>
      </c>
      <c r="B513" s="2" t="str">
        <f xml:space="preserve"> _xll.EPMOlapMemberO("[PRDID].[].[999-72951-0143]","","999-72951-0143","","000")</f>
        <v>999-72951-0143</v>
      </c>
      <c r="C513" s="2" t="str">
        <f xml:space="preserve"> _xll.EPMOlapMemberO("[BRAND].[].[ PLAIN PACKAGING]",""," PLAIN PACKAGING","","000")</f>
        <v xml:space="preserve"> PLAIN PACKAGING</v>
      </c>
      <c r="D513" s="2" t="str">
        <f xml:space="preserve"> _xll.EPMOlapMemberO("[AM2MARKETDESCR].[].[IRELAND]","","IRELAND","","000")</f>
        <v>IRELAND</v>
      </c>
      <c r="E513" s="2" t="str">
        <f xml:space="preserve"> _xll.EPMOlapMemberO("[AM2PARENTCUSTGROUP].[].[__NULL]","","(None)","","000")</f>
        <v>(None)</v>
      </c>
      <c r="F513" s="2" t="str">
        <f xml:space="preserve"> _xll.EPMOlapMemberO("[KEY_FIGURES].[].[INITIALINVENTORY]","","Stock","","000")</f>
        <v>Stock</v>
      </c>
      <c r="AQ513" s="2">
        <v>84</v>
      </c>
    </row>
    <row r="514" spans="1:52" x14ac:dyDescent="0.35">
      <c r="A514" s="2" t="str">
        <f xml:space="preserve"> _xll.EPMOlapMemberO("[LOCID].[].[Munich plant]","","Munich plant","","000")</f>
        <v>Munich plant</v>
      </c>
      <c r="B514" s="2" t="str">
        <f xml:space="preserve"> _xll.EPMOlapMemberO("[PRDID].[].[999-72951-0143]","","999-72951-0143","","000")</f>
        <v>999-72951-0143</v>
      </c>
      <c r="C514" s="2" t="str">
        <f xml:space="preserve"> _xll.EPMOlapMemberO("[BRAND].[].[ PLAIN PACKAGING]",""," PLAIN PACKAGING","","000")</f>
        <v xml:space="preserve"> PLAIN PACKAGING</v>
      </c>
      <c r="D514" s="2" t="str">
        <f xml:space="preserve"> _xll.EPMOlapMemberO("[AM2MARKETDESCR].[].[IRELAND]","","IRELAND","","000")</f>
        <v>IRELAND</v>
      </c>
      <c r="E514" s="2" t="str">
        <f xml:space="preserve"> _xll.EPMOlapMemberO("[AM2PARENTCUSTGROUP].[].[__NULL]","","(None)","","000")</f>
        <v>(None)</v>
      </c>
      <c r="F514" s="2" t="str">
        <f xml:space="preserve"> _xll.EPMOlapMemberO("[KEY_FIGURES].[].[CONFIRMEDPRODUCTION]","","Production Order","","000")</f>
        <v>Production Order</v>
      </c>
      <c r="AT514" s="2">
        <v>108</v>
      </c>
      <c r="AW514" s="2">
        <v>43.2</v>
      </c>
      <c r="AZ514" s="2">
        <v>64.8</v>
      </c>
    </row>
    <row r="515" spans="1:52" x14ac:dyDescent="0.35">
      <c r="A515" s="2" t="str">
        <f xml:space="preserve"> _xll.EPMOlapMemberO("[LOCID].[].[Munich plant]","","Munich plant","","000")</f>
        <v>Munich plant</v>
      </c>
      <c r="B515" s="2" t="str">
        <f xml:space="preserve"> _xll.EPMOlapMemberO("[PRDID].[].[999-72951-0146]","","999-72951-0146","","000")</f>
        <v>999-72951-0146</v>
      </c>
      <c r="C515" s="2" t="str">
        <f xml:space="preserve"> _xll.EPMOlapMemberO("[BRAND].[].[ PLAIN PACKAGING]",""," PLAIN PACKAGING","","000")</f>
        <v xml:space="preserve"> PLAIN PACKAGING</v>
      </c>
      <c r="D515" s="2" t="str">
        <f xml:space="preserve"> _xll.EPMOlapMemberO("[AM2MARKETDESCR].[].[SLOVENIA]","","SLOVENIA","","000")</f>
        <v>SLOVENIA</v>
      </c>
      <c r="E515" s="2" t="str">
        <f xml:space="preserve"> _xll.EPMOlapMemberO("[AM2PARENTCUSTGROUP].[].[__NULL]","","(None)","","000")</f>
        <v>(None)</v>
      </c>
      <c r="F515" s="2" t="str">
        <f xml:space="preserve"> _xll.EPMOlapMemberO("[KEY_FIGURES].[].[CONFIRMEDPRODUCTION]","","Production Order","","000")</f>
        <v>Production Order</v>
      </c>
      <c r="AT515" s="2">
        <v>92.463999999999999</v>
      </c>
      <c r="AY515" s="2">
        <v>23.478000000000002</v>
      </c>
    </row>
    <row r="516" spans="1:52" x14ac:dyDescent="0.35">
      <c r="A516" s="2" t="str">
        <f xml:space="preserve"> _xll.EPMOlapMemberO("[LOCID].[].[Munich plant]","","Munich plant","","000")</f>
        <v>Munich plant</v>
      </c>
      <c r="B516" s="2" t="str">
        <f xml:space="preserve"> _xll.EPMOlapMemberO("[PRDID].[].[999-72953-0050]","","999-72953-0050","","000")</f>
        <v>999-72953-0050</v>
      </c>
      <c r="C516" s="2" t="str">
        <f xml:space="preserve"> _xll.EPMOlapMemberO("[BRAND].[].[ PLAIN PACKAGING]",""," PLAIN PACKAGING","","000")</f>
        <v xml:space="preserve"> PLAIN PACKAGING</v>
      </c>
      <c r="D516" s="2" t="str">
        <f xml:space="preserve"> _xll.EPMOlapMemberO("[AM2MARKETDESCR].[].[AUSTRALIA]","","AUSTRALIA","","000")</f>
        <v>AUSTRALIA</v>
      </c>
      <c r="E516" s="2" t="str">
        <f xml:space="preserve"> _xll.EPMOlapMemberO("[AM2PARENTCUSTGROUP].[].[__NULL]","","(None)","","000")</f>
        <v>(None)</v>
      </c>
      <c r="F516" s="2" t="str">
        <f xml:space="preserve"> _xll.EPMOlapMemberO("[KEY_FIGURES].[].[CONFIRMEDPRODUCTION]","","Production Order","","000")</f>
        <v>Production Order</v>
      </c>
      <c r="AT516" s="2">
        <v>8.5709999999999997</v>
      </c>
    </row>
    <row r="517" spans="1:52" x14ac:dyDescent="0.35">
      <c r="A517" s="2" t="str">
        <f xml:space="preserve"> _xll.EPMOlapMemberO("[LOCID].[].[Munich plant]","","Munich plant","","000")</f>
        <v>Munich plant</v>
      </c>
      <c r="B517" s="2" t="str">
        <f xml:space="preserve"> _xll.EPMOlapMemberO("[PRDID].[].[999-72953-0078]","","999-72953-0078","","000")</f>
        <v>999-72953-0078</v>
      </c>
      <c r="C517" s="2" t="str">
        <f xml:space="preserve"> _xll.EPMOlapMemberO("[BRAND].[].[ PLAIN PACKAGING]",""," PLAIN PACKAGING","","000")</f>
        <v xml:space="preserve"> PLAIN PACKAGING</v>
      </c>
      <c r="D517" s="2" t="str">
        <f xml:space="preserve"> _xll.EPMOlapMemberO("[AM2MARKETDESCR].[].[BELGIUM]","","BELGIUM","","000")</f>
        <v>BELGIUM</v>
      </c>
      <c r="E517" s="2" t="str">
        <f xml:space="preserve"> _xll.EPMOlapMemberO("[AM2PARENTCUSTGROUP].[].[__NULL]","","(None)","","000")</f>
        <v>(None)</v>
      </c>
      <c r="F517" s="2" t="str">
        <f xml:space="preserve"> _xll.EPMOlapMemberO("[KEY_FIGURES].[].[CONFIRMEDPRODUCTION]","","Production Order","","000")</f>
        <v>Production Order</v>
      </c>
      <c r="AW517" s="2">
        <v>28.571000000000002</v>
      </c>
      <c r="AZ517" s="2">
        <v>40</v>
      </c>
    </row>
    <row r="518" spans="1:52" x14ac:dyDescent="0.35">
      <c r="A518" s="2" t="str">
        <f xml:space="preserve"> _xll.EPMOlapMemberO("[LOCID].[].[Munich plant]","","Munich plant","","000")</f>
        <v>Munich plant</v>
      </c>
      <c r="B518" s="2" t="str">
        <f xml:space="preserve"> _xll.EPMOlapMemberO("[PRDID].[].[999-72953-0079]","","999-72953-0079","","000")</f>
        <v>999-72953-0079</v>
      </c>
      <c r="C518" s="2" t="str">
        <f xml:space="preserve"> _xll.EPMOlapMemberO("[BRAND].[].[ PLAIN PACKAGING]",""," PLAIN PACKAGING","","000")</f>
        <v xml:space="preserve"> PLAIN PACKAGING</v>
      </c>
      <c r="D518" s="2" t="str">
        <f xml:space="preserve"> _xll.EPMOlapMemberO("[AM2MARKETDESCR].[].[BELGIUM]","","BELGIUM","","000")</f>
        <v>BELGIUM</v>
      </c>
      <c r="E518" s="2" t="str">
        <f xml:space="preserve"> _xll.EPMOlapMemberO("[AM2PARENTCUSTGROUP].[].[__NULL]","","(None)","","000")</f>
        <v>(None)</v>
      </c>
      <c r="F518" s="2" t="str">
        <f xml:space="preserve"> _xll.EPMOlapMemberO("[KEY_FIGURES].[].[CONFIRMEDPRODUCTION]","","Production Order","","000")</f>
        <v>Production Order</v>
      </c>
      <c r="AR518" s="2">
        <v>315.714</v>
      </c>
      <c r="AV518" s="2">
        <v>151.429</v>
      </c>
      <c r="AX518" s="2">
        <v>82.856999999999999</v>
      </c>
    </row>
    <row r="519" spans="1:52" x14ac:dyDescent="0.35">
      <c r="A519" s="2" t="str">
        <f xml:space="preserve"> _xll.EPMOlapMemberO("[LOCID].[].[Munich plant]","","Munich plant","","000")</f>
        <v>Munich plant</v>
      </c>
      <c r="B519" s="2" t="str">
        <f xml:space="preserve"> _xll.EPMOlapMemberO("[PRDID].[].[999-72953-0081]","","999-72953-0081","","000")</f>
        <v>999-72953-0081</v>
      </c>
      <c r="C519" s="2" t="str">
        <f xml:space="preserve"> _xll.EPMOlapMemberO("[BRAND].[].[ PLAIN PACKAGING]",""," PLAIN PACKAGING","","000")</f>
        <v xml:space="preserve"> PLAIN PACKAGING</v>
      </c>
      <c r="D519" s="2" t="str">
        <f xml:space="preserve"> _xll.EPMOlapMemberO("[AM2MARKETDESCR].[].[IRELAND]","","IRELAND","","000")</f>
        <v>IRELAND</v>
      </c>
      <c r="E519" s="2" t="str">
        <f xml:space="preserve"> _xll.EPMOlapMemberO("[AM2PARENTCUSTGROUP].[].[__NULL]","","(None)","","000")</f>
        <v>(None)</v>
      </c>
      <c r="F519" s="2" t="str">
        <f xml:space="preserve"> _xll.EPMOlapMemberO("[KEY_FIGURES].[].[CONFIRMEDPRODUCTION]","","Production Order","","000")</f>
        <v>Production Order</v>
      </c>
      <c r="AR519" s="2">
        <v>422.85700000000003</v>
      </c>
      <c r="AS519" s="2">
        <v>351</v>
      </c>
    </row>
    <row r="520" spans="1:52" x14ac:dyDescent="0.35">
      <c r="A520" s="2" t="str">
        <f xml:space="preserve"> _xll.EPMOlapMemberO("[LOCID].[].[Munich plant]","","Munich plant","","000")</f>
        <v>Munich plant</v>
      </c>
      <c r="B520" s="2" t="str">
        <f xml:space="preserve"> _xll.EPMOlapMemberO("[PRDID].[].[999-72953-0082]","","999-72953-0082","","000")</f>
        <v>999-72953-0082</v>
      </c>
      <c r="C520" s="2" t="str">
        <f xml:space="preserve"> _xll.EPMOlapMemberO("[BRAND].[].[ PLAIN PACKAGING]",""," PLAIN PACKAGING","","000")</f>
        <v xml:space="preserve"> PLAIN PACKAGING</v>
      </c>
      <c r="D520" s="2" t="str">
        <f xml:space="preserve"> _xll.EPMOlapMemberO("[AM2MARKETDESCR].[].[NETHERLANDS]","","NETHERLANDS","","000")</f>
        <v>NETHERLANDS</v>
      </c>
      <c r="E520" s="2" t="str">
        <f xml:space="preserve"> _xll.EPMOlapMemberO("[AM2PARENTCUSTGROUP].[].[__NULL]","","(None)","","000")</f>
        <v>(None)</v>
      </c>
      <c r="F520" s="2" t="str">
        <f xml:space="preserve"> _xll.EPMOlapMemberO("[KEY_FIGURES].[].[CONFIRMEDPRODUCTION]","","Production Order","","000")</f>
        <v>Production Order</v>
      </c>
      <c r="AV520" s="2">
        <v>52.941000000000003</v>
      </c>
      <c r="AY520" s="2">
        <v>61.765000000000001</v>
      </c>
    </row>
    <row r="521" spans="1:52" x14ac:dyDescent="0.35">
      <c r="A521" s="2" t="str">
        <f xml:space="preserve"> _xll.EPMOlapMemberO("[LOCID].[].[Munich plant]","","Munich plant","","000")</f>
        <v>Munich plant</v>
      </c>
      <c r="B521" s="2" t="str">
        <f xml:space="preserve"> _xll.EPMOlapMemberO("[PRDID].[].[999-72953-0083]","","999-72953-0083","","000")</f>
        <v>999-72953-0083</v>
      </c>
      <c r="C521" s="2" t="str">
        <f xml:space="preserve"> _xll.EPMOlapMemberO("[BRAND].[].[ PLAIN PACKAGING]",""," PLAIN PACKAGING","","000")</f>
        <v xml:space="preserve"> PLAIN PACKAGING</v>
      </c>
      <c r="D521" s="2" t="str">
        <f xml:space="preserve"> _xll.EPMOlapMemberO("[AM2MARKETDESCR].[].[NETHERLANDS]","","NETHERLANDS","","000")</f>
        <v>NETHERLANDS</v>
      </c>
      <c r="E521" s="2" t="str">
        <f xml:space="preserve"> _xll.EPMOlapMemberO("[AM2PARENTCUSTGROUP].[].[__NULL]","","(None)","","000")</f>
        <v>(None)</v>
      </c>
      <c r="F521" s="2" t="str">
        <f xml:space="preserve"> _xll.EPMOlapMemberO("[KEY_FIGURES].[].[CONFIRMEDPRODUCTION]","","Production Order","","000")</f>
        <v>Production Order</v>
      </c>
      <c r="AS521" s="2">
        <v>87.75</v>
      </c>
      <c r="AU521" s="2">
        <v>237.143</v>
      </c>
      <c r="AW521" s="2">
        <v>142.857</v>
      </c>
      <c r="AY521" s="2">
        <v>174.286</v>
      </c>
    </row>
    <row r="522" spans="1:52" x14ac:dyDescent="0.35">
      <c r="A522" s="2" t="str">
        <f xml:space="preserve"> _xll.EPMOlapMemberO("[LOCID].[].[Munich plant]","","Munich plant","","000")</f>
        <v>Munich plant</v>
      </c>
      <c r="B522" s="2" t="str">
        <f xml:space="preserve"> _xll.EPMOlapMemberO("[PRDID].[].[999-72953-0084]","","999-72953-0084","","000")</f>
        <v>999-72953-0084</v>
      </c>
      <c r="C522" s="2" t="str">
        <f xml:space="preserve"> _xll.EPMOlapMemberO("[BRAND].[].[ PLAIN PACKAGING]",""," PLAIN PACKAGING","","000")</f>
        <v xml:space="preserve"> PLAIN PACKAGING</v>
      </c>
      <c r="D522" s="2" t="str">
        <f xml:space="preserve"> _xll.EPMOlapMemberO("[AM2MARKETDESCR].[].[NETHERLANDS]","","NETHERLANDS","","000")</f>
        <v>NETHERLANDS</v>
      </c>
      <c r="E522" s="2" t="str">
        <f xml:space="preserve"> _xll.EPMOlapMemberO("[AM2PARENTCUSTGROUP].[].[__NULL]","","(None)","","000")</f>
        <v>(None)</v>
      </c>
      <c r="F522" s="2" t="str">
        <f xml:space="preserve"> _xll.EPMOlapMemberO("[KEY_FIGURES].[].[CONFIRMEDPRODUCTION]","","Production Order","","000")</f>
        <v>Production Order</v>
      </c>
      <c r="AS522" s="2">
        <v>175.5</v>
      </c>
      <c r="AU522" s="2">
        <v>128.125</v>
      </c>
      <c r="AX522" s="2">
        <v>134.375</v>
      </c>
    </row>
    <row r="523" spans="1:52" x14ac:dyDescent="0.35">
      <c r="A523" s="2" t="str">
        <f xml:space="preserve"> _xll.EPMOlapMemberO("[LOCID].[].[Munich plant]","","Munich plant","","000")</f>
        <v>Munich plant</v>
      </c>
      <c r="B523" s="2" t="str">
        <f xml:space="preserve"> _xll.EPMOlapMemberO("[PRDID].[].[999-73525-0019]","","999-73525-0019","","000")</f>
        <v>999-73525-0019</v>
      </c>
      <c r="C523" s="2" t="str">
        <f xml:space="preserve"> _xll.EPMOlapMemberO("[BRAND].[].[ GAULOISES BLONDES]",""," GAULOISES BLONDES","","000")</f>
        <v xml:space="preserve"> GAULOISES BLONDES</v>
      </c>
      <c r="D523" s="2" t="str">
        <f xml:space="preserve"> _xll.EPMOlapMemberO("[AM2MARKETDESCR].[].[GERMANY]","","GERMANY","","000")</f>
        <v>GERMANY</v>
      </c>
      <c r="E523" s="2" t="str">
        <f xml:space="preserve"> _xll.EPMOlapMemberO("[AM2PARENTCUSTGROUP].[].[__NULL]","","(None)","","000")</f>
        <v>(None)</v>
      </c>
      <c r="F523" s="2" t="str">
        <f xml:space="preserve"> _xll.EPMOlapMemberO("[KEY_FIGURES].[].[CONFIRMEDPRODUCTION]","","Production Order","","000")</f>
        <v>Production Order</v>
      </c>
      <c r="AS523" s="2">
        <v>954.92899999999997</v>
      </c>
      <c r="AU523" s="2">
        <v>159.5</v>
      </c>
      <c r="AX523" s="2">
        <v>580</v>
      </c>
      <c r="AZ523" s="2">
        <v>478.5</v>
      </c>
    </row>
    <row r="524" spans="1:52" x14ac:dyDescent="0.35">
      <c r="A524" s="2" t="str">
        <f xml:space="preserve"> _xll.EPMOlapMemberO("[LOCID].[].[Munich plant]","","Munich plant","","000")</f>
        <v>Munich plant</v>
      </c>
      <c r="B524" s="2" t="str">
        <f xml:space="preserve"> _xll.EPMOlapMemberO("[PRDID].[].[999-73525-0028]","","999-73525-0028","","000")</f>
        <v>999-73525-0028</v>
      </c>
      <c r="C524" s="2" t="str">
        <f xml:space="preserve"> _xll.EPMOlapMemberO("[BRAND].[].[ GAULOISES BLONDES]",""," GAULOISES BLONDES","","000")</f>
        <v xml:space="preserve"> GAULOISES BLONDES</v>
      </c>
      <c r="D524" s="2" t="str">
        <f xml:space="preserve"> _xll.EPMOlapMemberO("[AM2MARKETDESCR].[].[GERMANY]","","GERMANY","","000")</f>
        <v>GERMANY</v>
      </c>
      <c r="E524" s="2" t="str">
        <f xml:space="preserve"> _xll.EPMOlapMemberO("[AM2PARENTCUSTGROUP].[].[__NULL]","","(None)","","000")</f>
        <v>(None)</v>
      </c>
      <c r="F524" s="2" t="str">
        <f xml:space="preserve"> _xll.EPMOlapMemberO("[KEY_FIGURES].[].[INITIALINVENTORY]","","Stock","","000")</f>
        <v>Stock</v>
      </c>
      <c r="AQ524" s="2">
        <v>3570</v>
      </c>
    </row>
    <row r="525" spans="1:52" x14ac:dyDescent="0.35">
      <c r="A525" s="2" t="str">
        <f xml:space="preserve"> _xll.EPMOlapMemberO("[LOCID].[].[Munich plant]","","Munich plant","","000")</f>
        <v>Munich plant</v>
      </c>
      <c r="B525" s="2" t="str">
        <f xml:space="preserve"> _xll.EPMOlapMemberO("[PRDID].[].[999-73525-0028]","","999-73525-0028","","000")</f>
        <v>999-73525-0028</v>
      </c>
      <c r="C525" s="2" t="str">
        <f xml:space="preserve"> _xll.EPMOlapMemberO("[BRAND].[].[ GAULOISES BLONDES]",""," GAULOISES BLONDES","","000")</f>
        <v xml:space="preserve"> GAULOISES BLONDES</v>
      </c>
      <c r="D525" s="2" t="str">
        <f xml:space="preserve"> _xll.EPMOlapMemberO("[AM2MARKETDESCR].[].[GERMANY]","","GERMANY","","000")</f>
        <v>GERMANY</v>
      </c>
      <c r="E525" s="2" t="str">
        <f xml:space="preserve"> _xll.EPMOlapMemberO("[AM2PARENTCUSTGROUP].[].[__NULL]","","(None)","","000")</f>
        <v>(None)</v>
      </c>
      <c r="F525" s="2" t="str">
        <f xml:space="preserve"> _xll.EPMOlapMemberO("[KEY_FIGURES].[].[CONFIRMEDPRODUCTION]","","Production Order","","000")</f>
        <v>Production Order</v>
      </c>
      <c r="AR525" s="2">
        <v>420</v>
      </c>
      <c r="AS525" s="2">
        <v>3185</v>
      </c>
      <c r="AU525" s="2">
        <v>670</v>
      </c>
      <c r="AV525" s="2">
        <v>3655</v>
      </c>
      <c r="AX525" s="2">
        <v>10</v>
      </c>
      <c r="AY525" s="2">
        <v>2925</v>
      </c>
    </row>
    <row r="526" spans="1:52" x14ac:dyDescent="0.35">
      <c r="A526" s="2" t="str">
        <f xml:space="preserve"> _xll.EPMOlapMemberO("[LOCID].[].[Munich plant]","","Munich plant","","000")</f>
        <v>Munich plant</v>
      </c>
      <c r="B526" s="2" t="str">
        <f xml:space="preserve"> _xll.EPMOlapMemberO("[PRDID].[].[999-73525-0029]","","999-73525-0029","","000")</f>
        <v>999-73525-0029</v>
      </c>
      <c r="C526" s="2" t="str">
        <f xml:space="preserve"> _xll.EPMOlapMemberO("[BRAND].[].[ GAULOISES BLONDES]",""," GAULOISES BLONDES","","000")</f>
        <v xml:space="preserve"> GAULOISES BLONDES</v>
      </c>
      <c r="D526" s="2" t="str">
        <f xml:space="preserve"> _xll.EPMOlapMemberO("[AM2MARKETDESCR].[].[GERMANY]","","GERMANY","","000")</f>
        <v>GERMANY</v>
      </c>
      <c r="E526" s="2" t="str">
        <f xml:space="preserve"> _xll.EPMOlapMemberO("[AM2PARENTCUSTGROUP].[].[__NULL]","","(None)","","000")</f>
        <v>(None)</v>
      </c>
      <c r="F526" s="2" t="str">
        <f xml:space="preserve"> _xll.EPMOlapMemberO("[KEY_FIGURES].[].[CONFIRMEDPRODUCTION]","","Production Order","","000")</f>
        <v>Production Order</v>
      </c>
      <c r="AR526" s="2">
        <v>477.5</v>
      </c>
      <c r="AU526" s="2">
        <v>100</v>
      </c>
      <c r="AV526" s="2">
        <v>530</v>
      </c>
      <c r="AZ526" s="2">
        <v>390</v>
      </c>
    </row>
    <row r="527" spans="1:52" x14ac:dyDescent="0.35">
      <c r="A527" s="2" t="str">
        <f xml:space="preserve"> _xll.EPMOlapMemberO("[LOCID].[].[Munich plant]","","Munich plant","","000")</f>
        <v>Munich plant</v>
      </c>
      <c r="B527" s="2" t="str">
        <f xml:space="preserve"> _xll.EPMOlapMemberO("[PRDID].[].[999-73525-0030]","","999-73525-0030","","000")</f>
        <v>999-73525-0030</v>
      </c>
      <c r="C527" s="2" t="str">
        <f xml:space="preserve"> _xll.EPMOlapMemberO("[BRAND].[].[ GAULOISES BLONDES]",""," GAULOISES BLONDES","","000")</f>
        <v xml:space="preserve"> GAULOISES BLONDES</v>
      </c>
      <c r="D527" s="2" t="str">
        <f xml:space="preserve"> _xll.EPMOlapMemberO("[AM2MARKETDESCR].[].[GERMANY]","","GERMANY","","000")</f>
        <v>GERMANY</v>
      </c>
      <c r="E527" s="2" t="str">
        <f xml:space="preserve"> _xll.EPMOlapMemberO("[AM2PARENTCUSTGROUP].[].[__NULL]","","(None)","","000")</f>
        <v>(None)</v>
      </c>
      <c r="F527" s="2" t="str">
        <f xml:space="preserve"> _xll.EPMOlapMemberO("[KEY_FIGURES].[].[INITIALINVENTORY]","","Stock","","000")</f>
        <v>Stock</v>
      </c>
      <c r="AQ527" s="2">
        <v>1995</v>
      </c>
    </row>
    <row r="528" spans="1:52" x14ac:dyDescent="0.35">
      <c r="A528" s="2" t="str">
        <f xml:space="preserve"> _xll.EPMOlapMemberO("[LOCID].[].[Munich plant]","","Munich plant","","000")</f>
        <v>Munich plant</v>
      </c>
      <c r="B528" s="2" t="str">
        <f xml:space="preserve"> _xll.EPMOlapMemberO("[PRDID].[].[999-73525-0030]","","999-73525-0030","","000")</f>
        <v>999-73525-0030</v>
      </c>
      <c r="C528" s="2" t="str">
        <f xml:space="preserve"> _xll.EPMOlapMemberO("[BRAND].[].[ GAULOISES BLONDES]",""," GAULOISES BLONDES","","000")</f>
        <v xml:space="preserve"> GAULOISES BLONDES</v>
      </c>
      <c r="D528" s="2" t="str">
        <f xml:space="preserve"> _xll.EPMOlapMemberO("[AM2MARKETDESCR].[].[GERMANY]","","GERMANY","","000")</f>
        <v>GERMANY</v>
      </c>
      <c r="E528" s="2" t="str">
        <f xml:space="preserve"> _xll.EPMOlapMemberO("[AM2PARENTCUSTGROUP].[].[__NULL]","","(None)","","000")</f>
        <v>(None)</v>
      </c>
      <c r="F528" s="2" t="str">
        <f xml:space="preserve"> _xll.EPMOlapMemberO("[KEY_FIGURES].[].[CONFIRMEDPRODUCTION]","","Production Order","","000")</f>
        <v>Production Order</v>
      </c>
      <c r="AR528" s="2">
        <v>2507.5</v>
      </c>
      <c r="AU528" s="2">
        <v>605</v>
      </c>
    </row>
    <row r="529" spans="1:52" x14ac:dyDescent="0.35">
      <c r="A529" s="2" t="str">
        <f xml:space="preserve"> _xll.EPMOlapMemberO("[LOCID].[].[Munich plant]","","Munich plant","","000")</f>
        <v>Munich plant</v>
      </c>
      <c r="B529" s="2" t="str">
        <f xml:space="preserve"> _xll.EPMOlapMemberO("[PRDID].[].[999-73525-0031]","","999-73525-0031","","000")</f>
        <v>999-73525-0031</v>
      </c>
      <c r="C529" s="2" t="str">
        <f xml:space="preserve"> _xll.EPMOlapMemberO("[BRAND].[].[ GAULOISES BLONDES]",""," GAULOISES BLONDES","","000")</f>
        <v xml:space="preserve"> GAULOISES BLONDES</v>
      </c>
      <c r="D529" s="2" t="str">
        <f xml:space="preserve"> _xll.EPMOlapMemberO("[AM2MARKETDESCR].[].[CZECH REPUBLIC]","","CZECH REPUBLIC","","000")</f>
        <v>CZECH REPUBLIC</v>
      </c>
      <c r="E529" s="2" t="str">
        <f xml:space="preserve"> _xll.EPMOlapMemberO("[AM2PARENTCUSTGROUP].[].[__NULL]","","(None)","","000")</f>
        <v>(None)</v>
      </c>
      <c r="F529" s="2" t="str">
        <f xml:space="preserve"> _xll.EPMOlapMemberO("[KEY_FIGURES].[].[CONFIRMEDPRODUCTION]","","Production Order","","000")</f>
        <v>Production Order</v>
      </c>
      <c r="AT529" s="2">
        <v>29</v>
      </c>
      <c r="AY529" s="2">
        <v>29</v>
      </c>
    </row>
    <row r="530" spans="1:52" x14ac:dyDescent="0.35">
      <c r="A530" s="2" t="str">
        <f xml:space="preserve"> _xll.EPMOlapMemberO("[LOCID].[].[Munich plant]","","Munich plant","","000")</f>
        <v>Munich plant</v>
      </c>
      <c r="B530" s="2" t="str">
        <f xml:space="preserve"> _xll.EPMOlapMemberO("[PRDID].[].[999-73525-0032]","","999-73525-0032","","000")</f>
        <v>999-73525-0032</v>
      </c>
      <c r="C530" s="2" t="str">
        <f xml:space="preserve"> _xll.EPMOlapMemberO("[BRAND].[].[ GAULOISES BLONDES]",""," GAULOISES BLONDES","","000")</f>
        <v xml:space="preserve"> GAULOISES BLONDES</v>
      </c>
      <c r="D530" s="2" t="str">
        <f xml:space="preserve"> _xll.EPMOlapMemberO("[AM2MARKETDESCR].[].[AUSTRIA]","","AUSTRIA","","000")</f>
        <v>AUSTRIA</v>
      </c>
      <c r="E530" s="2" t="str">
        <f xml:space="preserve"> _xll.EPMOlapMemberO("[AM2PARENTCUSTGROUP].[].[__NULL]","","(None)","","000")</f>
        <v>(None)</v>
      </c>
      <c r="F530" s="2" t="str">
        <f xml:space="preserve"> _xll.EPMOlapMemberO("[KEY_FIGURES].[].[INITIALINVENTORY]","","Stock","","000")</f>
        <v>Stock</v>
      </c>
      <c r="AQ530" s="2">
        <v>315</v>
      </c>
    </row>
    <row r="531" spans="1:52" x14ac:dyDescent="0.35">
      <c r="A531" s="2" t="str">
        <f xml:space="preserve"> _xll.EPMOlapMemberO("[LOCID].[].[Munich plant]","","Munich plant","","000")</f>
        <v>Munich plant</v>
      </c>
      <c r="B531" s="2" t="str">
        <f xml:space="preserve"> _xll.EPMOlapMemberO("[PRDID].[].[999-73525-0032]","","999-73525-0032","","000")</f>
        <v>999-73525-0032</v>
      </c>
      <c r="C531" s="2" t="str">
        <f xml:space="preserve"> _xll.EPMOlapMemberO("[BRAND].[].[ GAULOISES BLONDES]",""," GAULOISES BLONDES","","000")</f>
        <v xml:space="preserve"> GAULOISES BLONDES</v>
      </c>
      <c r="D531" s="2" t="str">
        <f xml:space="preserve"> _xll.EPMOlapMemberO("[AM2MARKETDESCR].[].[AUSTRIA]","","AUSTRIA","","000")</f>
        <v>AUSTRIA</v>
      </c>
      <c r="E531" s="2" t="str">
        <f xml:space="preserve"> _xll.EPMOlapMemberO("[AM2PARENTCUSTGROUP].[].[__NULL]","","(None)","","000")</f>
        <v>(None)</v>
      </c>
      <c r="F531" s="2" t="str">
        <f xml:space="preserve"> _xll.EPMOlapMemberO("[KEY_FIGURES].[].[CONFIRMEDPRODUCTION]","","Production Order","","000")</f>
        <v>Production Order</v>
      </c>
      <c r="AU531" s="2">
        <v>205</v>
      </c>
      <c r="AY531" s="2">
        <v>205</v>
      </c>
    </row>
    <row r="532" spans="1:52" x14ac:dyDescent="0.35">
      <c r="A532" s="2" t="str">
        <f xml:space="preserve"> _xll.EPMOlapMemberO("[LOCID].[].[Munich plant]","","Munich plant","","000")</f>
        <v>Munich plant</v>
      </c>
      <c r="B532" s="2" t="str">
        <f xml:space="preserve"> _xll.EPMOlapMemberO("[PRDID].[].[999-73830-0014]","","999-73830-0014","","000")</f>
        <v>999-73830-0014</v>
      </c>
      <c r="C532" s="2" t="str">
        <f xml:space="preserve"> _xll.EPMOlapMemberO("[BRAND].[].[ GAULOISES BLONDES]",""," GAULOISES BLONDES","","000")</f>
        <v xml:space="preserve"> GAULOISES BLONDES</v>
      </c>
      <c r="D532" s="2" t="str">
        <f xml:space="preserve"> _xll.EPMOlapMemberO("[AM2MARKETDESCR].[].[LUXEMBURG]","","LUXEMBURG","","000")</f>
        <v>LUXEMBURG</v>
      </c>
      <c r="E532" s="2" t="str">
        <f xml:space="preserve"> _xll.EPMOlapMemberO("[AM2PARENTCUSTGROUP].[].[__NULL]","","(None)","","000")</f>
        <v>(None)</v>
      </c>
      <c r="F532" s="2" t="str">
        <f xml:space="preserve"> _xll.EPMOlapMemberO("[KEY_FIGURES].[].[INITIALINVENTORY]","","Stock","","000")</f>
        <v>Stock</v>
      </c>
      <c r="AQ532" s="2">
        <v>60</v>
      </c>
    </row>
    <row r="533" spans="1:52" x14ac:dyDescent="0.35">
      <c r="A533" s="2" t="str">
        <f xml:space="preserve"> _xll.EPMOlapMemberO("[LOCID].[].[Munich plant]","","Munich plant","","000")</f>
        <v>Munich plant</v>
      </c>
      <c r="B533" s="2" t="str">
        <f xml:space="preserve"> _xll.EPMOlapMemberO("[PRDID].[].[999-73830-0014]","","999-73830-0014","","000")</f>
        <v>999-73830-0014</v>
      </c>
      <c r="C533" s="2" t="str">
        <f xml:space="preserve"> _xll.EPMOlapMemberO("[BRAND].[].[ GAULOISES BLONDES]",""," GAULOISES BLONDES","","000")</f>
        <v xml:space="preserve"> GAULOISES BLONDES</v>
      </c>
      <c r="D533" s="2" t="str">
        <f xml:space="preserve"> _xll.EPMOlapMemberO("[AM2MARKETDESCR].[].[LUXEMBURG]","","LUXEMBURG","","000")</f>
        <v>LUXEMBURG</v>
      </c>
      <c r="E533" s="2" t="str">
        <f xml:space="preserve"> _xll.EPMOlapMemberO("[AM2PARENTCUSTGROUP].[].[__NULL]","","(None)","","000")</f>
        <v>(None)</v>
      </c>
      <c r="F533" s="2" t="str">
        <f xml:space="preserve"> _xll.EPMOlapMemberO("[KEY_FIGURES].[].[CONFIRMEDPRODUCTION]","","Production Order","","000")</f>
        <v>Production Order</v>
      </c>
      <c r="AS533" s="2">
        <v>60</v>
      </c>
      <c r="AV533" s="2">
        <v>92</v>
      </c>
      <c r="AY533" s="2">
        <v>96</v>
      </c>
    </row>
    <row r="534" spans="1:52" x14ac:dyDescent="0.35">
      <c r="A534" s="2" t="str">
        <f xml:space="preserve"> _xll.EPMOlapMemberO("[LOCID].[].[Munich plant]","","Munich plant","","000")</f>
        <v>Munich plant</v>
      </c>
      <c r="B534" s="2" t="str">
        <f xml:space="preserve"> _xll.EPMOlapMemberO("[PRDID].[].[999-74414-0007]","","999-74414-0007","","000")</f>
        <v>999-74414-0007</v>
      </c>
      <c r="C534" s="2" t="str">
        <f xml:space="preserve"> _xll.EPMOlapMemberO("[BRAND].[].[ GAULOISES BLONDES]",""," GAULOISES BLONDES","","000")</f>
        <v xml:space="preserve"> GAULOISES BLONDES</v>
      </c>
      <c r="D534" s="2" t="str">
        <f xml:space="preserve"> _xll.EPMOlapMemberO("[AM2MARKETDESCR].[].[GERMANY]","","GERMANY","","000")</f>
        <v>GERMANY</v>
      </c>
      <c r="E534" s="2" t="str">
        <f xml:space="preserve"> _xll.EPMOlapMemberO("[AM2PARENTCUSTGROUP].[].[__NULL]","","(None)","","000")</f>
        <v>(None)</v>
      </c>
      <c r="F534" s="2" t="str">
        <f xml:space="preserve"> _xll.EPMOlapMemberO("[KEY_FIGURES].[].[CONFIRMEDPRODUCTION]","","Production Order","","000")</f>
        <v>Production Order</v>
      </c>
      <c r="AT534" s="2">
        <v>147.619</v>
      </c>
      <c r="AW534" s="2">
        <v>23.81</v>
      </c>
    </row>
    <row r="535" spans="1:52" x14ac:dyDescent="0.35">
      <c r="A535" s="2" t="str">
        <f xml:space="preserve"> _xll.EPMOlapMemberO("[LOCID].[].[Munich plant]","","Munich plant","","000")</f>
        <v>Munich plant</v>
      </c>
      <c r="B535" s="2" t="str">
        <f xml:space="preserve"> _xll.EPMOlapMemberO("[PRDID].[].[999-74414-0008]","","999-74414-0008","","000")</f>
        <v>999-74414-0008</v>
      </c>
      <c r="C535" s="2" t="str">
        <f xml:space="preserve"> _xll.EPMOlapMemberO("[BRAND].[].[ GAULOISES BLONDES]",""," GAULOISES BLONDES","","000")</f>
        <v xml:space="preserve"> GAULOISES BLONDES</v>
      </c>
      <c r="D535" s="2" t="str">
        <f xml:space="preserve"> _xll.EPMOlapMemberO("[AM2MARKETDESCR].[].[GERMANY]","","GERMANY","","000")</f>
        <v>GERMANY</v>
      </c>
      <c r="E535" s="2" t="str">
        <f xml:space="preserve"> _xll.EPMOlapMemberO("[AM2PARENTCUSTGROUP].[].[__NULL]","","(None)","","000")</f>
        <v>(None)</v>
      </c>
      <c r="F535" s="2" t="str">
        <f xml:space="preserve"> _xll.EPMOlapMemberO("[KEY_FIGURES].[].[CONFIRMEDPRODUCTION]","","Production Order","","000")</f>
        <v>Production Order</v>
      </c>
      <c r="AS535" s="2">
        <v>694.28599999999994</v>
      </c>
      <c r="AT535" s="2">
        <v>192.857</v>
      </c>
      <c r="AW535" s="2">
        <v>90</v>
      </c>
    </row>
    <row r="536" spans="1:52" x14ac:dyDescent="0.35">
      <c r="A536" s="2" t="str">
        <f xml:space="preserve"> _xll.EPMOlapMemberO("[LOCID].[].[Munich plant]","","Munich plant","","000")</f>
        <v>Munich plant</v>
      </c>
      <c r="B536" s="2" t="str">
        <f xml:space="preserve"> _xll.EPMOlapMemberO("[PRDID].[].[999-74461-0037]","","999-74461-0037","","000")</f>
        <v>999-74461-0037</v>
      </c>
      <c r="C536" s="2" t="str">
        <f xml:space="preserve"> _xll.EPMOlapMemberO("[BRAND].[].[ GAULOISES BLONDES]",""," GAULOISES BLONDES","","000")</f>
        <v xml:space="preserve"> GAULOISES BLONDES</v>
      </c>
      <c r="D536" s="2" t="str">
        <f xml:space="preserve"> _xll.EPMOlapMemberO("[AM2MARKETDESCR].[].[LUXEMBURG]","","LUXEMBURG","","000")</f>
        <v>LUXEMBURG</v>
      </c>
      <c r="E536" s="2" t="str">
        <f xml:space="preserve"> _xll.EPMOlapMemberO("[AM2PARENTCUSTGROUP].[].[__NULL]","","(None)","","000")</f>
        <v>(None)</v>
      </c>
      <c r="F536" s="2" t="str">
        <f xml:space="preserve"> _xll.EPMOlapMemberO("[KEY_FIGURES].[].[CONFIRMEDPRODUCTION]","","Production Order","","000")</f>
        <v>Production Order</v>
      </c>
      <c r="AR536" s="2">
        <v>588</v>
      </c>
      <c r="AU536" s="2">
        <v>421.2</v>
      </c>
      <c r="AX536" s="2">
        <v>421.2</v>
      </c>
    </row>
    <row r="537" spans="1:52" x14ac:dyDescent="0.35">
      <c r="A537" s="2" t="str">
        <f xml:space="preserve"> _xll.EPMOlapMemberO("[LOCID].[].[Munich plant]","","Munich plant","","000")</f>
        <v>Munich plant</v>
      </c>
      <c r="B537" s="2" t="str">
        <f xml:space="preserve"> _xll.EPMOlapMemberO("[PRDID].[].[999-74461-0038]","","999-74461-0038","","000")</f>
        <v>999-74461-0038</v>
      </c>
      <c r="C537" s="2" t="str">
        <f xml:space="preserve"> _xll.EPMOlapMemberO("[BRAND].[].[ GAULOISES BLONDES]",""," GAULOISES BLONDES","","000")</f>
        <v xml:space="preserve"> GAULOISES BLONDES</v>
      </c>
      <c r="D537" s="2" t="str">
        <f xml:space="preserve"> _xll.EPMOlapMemberO("[AM2MARKETDESCR].[].[LUXEMBURG]","","LUXEMBURG","","000")</f>
        <v>LUXEMBURG</v>
      </c>
      <c r="E537" s="2" t="str">
        <f xml:space="preserve"> _xll.EPMOlapMemberO("[AM2PARENTCUSTGROUP].[].[__NULL]","","(None)","","000")</f>
        <v>(None)</v>
      </c>
      <c r="F537" s="2" t="str">
        <f xml:space="preserve"> _xll.EPMOlapMemberO("[KEY_FIGURES].[].[INITIALINVENTORY]","","Stock","","000")</f>
        <v>Stock</v>
      </c>
      <c r="AQ537" s="2">
        <v>168</v>
      </c>
    </row>
    <row r="538" spans="1:52" x14ac:dyDescent="0.35">
      <c r="A538" s="2" t="str">
        <f xml:space="preserve"> _xll.EPMOlapMemberO("[LOCID].[].[Munich plant]","","Munich plant","","000")</f>
        <v>Munich plant</v>
      </c>
      <c r="B538" s="2" t="str">
        <f xml:space="preserve"> _xll.EPMOlapMemberO("[PRDID].[].[999-74461-0038]","","999-74461-0038","","000")</f>
        <v>999-74461-0038</v>
      </c>
      <c r="C538" s="2" t="str">
        <f xml:space="preserve"> _xll.EPMOlapMemberO("[BRAND].[].[ GAULOISES BLONDES]",""," GAULOISES BLONDES","","000")</f>
        <v xml:space="preserve"> GAULOISES BLONDES</v>
      </c>
      <c r="D538" s="2" t="str">
        <f xml:space="preserve"> _xll.EPMOlapMemberO("[AM2MARKETDESCR].[].[LUXEMBURG]","","LUXEMBURG","","000")</f>
        <v>LUXEMBURG</v>
      </c>
      <c r="E538" s="2" t="str">
        <f xml:space="preserve"> _xll.EPMOlapMemberO("[AM2PARENTCUSTGROUP].[].[__NULL]","","(None)","","000")</f>
        <v>(None)</v>
      </c>
      <c r="F538" s="2" t="str">
        <f xml:space="preserve"> _xll.EPMOlapMemberO("[KEY_FIGURES].[].[CONFIRMEDPRODUCTION]","","Production Order","","000")</f>
        <v>Production Order</v>
      </c>
      <c r="AV538" s="2">
        <v>61.2</v>
      </c>
      <c r="AY538" s="2">
        <v>75.599999999999994</v>
      </c>
    </row>
    <row r="539" spans="1:52" x14ac:dyDescent="0.35">
      <c r="A539" s="2" t="str">
        <f xml:space="preserve"> _xll.EPMOlapMemberO("[LOCID].[].[Munich plant]","","Munich plant","","000")</f>
        <v>Munich plant</v>
      </c>
      <c r="B539" s="2" t="str">
        <f xml:space="preserve"> _xll.EPMOlapMemberO("[PRDID].[].[999-74461-0039]","","999-74461-0039","","000")</f>
        <v>999-74461-0039</v>
      </c>
      <c r="C539" s="2" t="str">
        <f xml:space="preserve"> _xll.EPMOlapMemberO("[BRAND].[].[ GAULOISES BLONDES]",""," GAULOISES BLONDES","","000")</f>
        <v xml:space="preserve"> GAULOISES BLONDES</v>
      </c>
      <c r="D539" s="2" t="str">
        <f xml:space="preserve"> _xll.EPMOlapMemberO("[AM2MARKETDESCR].[].[LUXEMBURG]","","LUXEMBURG","","000")</f>
        <v>LUXEMBURG</v>
      </c>
      <c r="E539" s="2" t="str">
        <f xml:space="preserve"> _xll.EPMOlapMemberO("[AM2PARENTCUSTGROUP].[].[__NULL]","","(None)","","000")</f>
        <v>(None)</v>
      </c>
      <c r="F539" s="2" t="str">
        <f xml:space="preserve"> _xll.EPMOlapMemberO("[KEY_FIGURES].[].[CONFIRMEDPRODUCTION]","","Production Order","","000")</f>
        <v>Production Order</v>
      </c>
      <c r="AR539" s="2">
        <v>252</v>
      </c>
      <c r="AT539" s="2">
        <v>334.8</v>
      </c>
      <c r="AW539" s="2">
        <v>248.4</v>
      </c>
    </row>
    <row r="540" spans="1:52" x14ac:dyDescent="0.35">
      <c r="A540" s="2" t="str">
        <f xml:space="preserve"> _xll.EPMOlapMemberO("[LOCID].[].[Munich plant]","","Munich plant","","000")</f>
        <v>Munich plant</v>
      </c>
      <c r="B540" s="2" t="str">
        <f xml:space="preserve"> _xll.EPMOlapMemberO("[PRDID].[].[999-74461-0040]","","999-74461-0040","","000")</f>
        <v>999-74461-0040</v>
      </c>
      <c r="C540" s="2" t="str">
        <f xml:space="preserve"> _xll.EPMOlapMemberO("[BRAND].[].[ GAULOISES BLONDES]",""," GAULOISES BLONDES","","000")</f>
        <v xml:space="preserve"> GAULOISES BLONDES</v>
      </c>
      <c r="D540" s="2" t="str">
        <f xml:space="preserve"> _xll.EPMOlapMemberO("[AM2MARKETDESCR].[].[CZECH REPUBLIC]","","CZECH REPUBLIC","","000")</f>
        <v>CZECH REPUBLIC</v>
      </c>
      <c r="E540" s="2" t="str">
        <f xml:space="preserve"> _xll.EPMOlapMemberO("[AM2PARENTCUSTGROUP].[].[__NULL]","","(None)","","000")</f>
        <v>(None)</v>
      </c>
      <c r="F540" s="2" t="str">
        <f xml:space="preserve"> _xll.EPMOlapMemberO("[KEY_FIGURES].[].[CONFIRMEDPRODUCTION]","","Production Order","","000")</f>
        <v>Production Order</v>
      </c>
      <c r="AS540" s="2">
        <v>229.364</v>
      </c>
      <c r="AU540" s="2">
        <v>85.909000000000006</v>
      </c>
      <c r="AW540" s="2">
        <v>85.909000000000006</v>
      </c>
      <c r="AZ540" s="2">
        <v>233.18199999999999</v>
      </c>
    </row>
    <row r="541" spans="1:52" x14ac:dyDescent="0.35">
      <c r="A541" s="2" t="str">
        <f xml:space="preserve"> _xll.EPMOlapMemberO("[LOCID].[].[Munich plant]","","Munich plant","","000")</f>
        <v>Munich plant</v>
      </c>
      <c r="B541" s="2" t="str">
        <f xml:space="preserve"> _xll.EPMOlapMemberO("[PRDID].[].[999-74461-0041]","","999-74461-0041","","000")</f>
        <v>999-74461-0041</v>
      </c>
      <c r="C541" s="2" t="str">
        <f xml:space="preserve"> _xll.EPMOlapMemberO("[BRAND].[].[ GAULOISES BLONDES]",""," GAULOISES BLONDES","","000")</f>
        <v xml:space="preserve"> GAULOISES BLONDES</v>
      </c>
      <c r="D541" s="2" t="str">
        <f xml:space="preserve"> _xll.EPMOlapMemberO("[AM2MARKETDESCR].[].[POLAND]","","POLAND","","000")</f>
        <v>POLAND</v>
      </c>
      <c r="E541" s="2" t="str">
        <f xml:space="preserve"> _xll.EPMOlapMemberO("[AM2PARENTCUSTGROUP].[].[__NULL]","","(None)","","000")</f>
        <v>(None)</v>
      </c>
      <c r="F541" s="2" t="str">
        <f xml:space="preserve"> _xll.EPMOlapMemberO("[KEY_FIGURES].[].[INITIALINVENTORY]","","Stock","","000")</f>
        <v>Stock</v>
      </c>
      <c r="AQ541" s="2">
        <v>84</v>
      </c>
    </row>
    <row r="542" spans="1:52" x14ac:dyDescent="0.35">
      <c r="A542" s="2" t="str">
        <f xml:space="preserve"> _xll.EPMOlapMemberO("[LOCID].[].[Munich plant]","","Munich plant","","000")</f>
        <v>Munich plant</v>
      </c>
      <c r="B542" s="2" t="str">
        <f xml:space="preserve"> _xll.EPMOlapMemberO("[PRDID].[].[999-74461-0041]","","999-74461-0041","","000")</f>
        <v>999-74461-0041</v>
      </c>
      <c r="C542" s="2" t="str">
        <f xml:space="preserve"> _xll.EPMOlapMemberO("[BRAND].[].[ GAULOISES BLONDES]",""," GAULOISES BLONDES","","000")</f>
        <v xml:space="preserve"> GAULOISES BLONDES</v>
      </c>
      <c r="D542" s="2" t="str">
        <f xml:space="preserve"> _xll.EPMOlapMemberO("[AM2MARKETDESCR].[].[POLAND]","","POLAND","","000")</f>
        <v>POLAND</v>
      </c>
      <c r="E542" s="2" t="str">
        <f xml:space="preserve"> _xll.EPMOlapMemberO("[AM2PARENTCUSTGROUP].[].[__NULL]","","(None)","","000")</f>
        <v>(None)</v>
      </c>
      <c r="F542" s="2" t="str">
        <f xml:space="preserve"> _xll.EPMOlapMemberO("[KEY_FIGURES].[].[CONFIRMEDPRODUCTION]","","Production Order","","000")</f>
        <v>Production Order</v>
      </c>
      <c r="AS542" s="2">
        <v>184.09100000000001</v>
      </c>
      <c r="AV542" s="2">
        <v>36.817999999999998</v>
      </c>
      <c r="AY542" s="2">
        <v>233.18199999999999</v>
      </c>
    </row>
    <row r="543" spans="1:52" x14ac:dyDescent="0.35">
      <c r="A543" s="2" t="str">
        <f xml:space="preserve"> _xll.EPMOlapMemberO("[LOCID].[].[Munich plant]","","Munich plant","","000")</f>
        <v>Munich plant</v>
      </c>
      <c r="B543" s="2" t="str">
        <f xml:space="preserve"> _xll.EPMOlapMemberO("[PRDID].[].[999-74461-0042]","","999-74461-0042","","000")</f>
        <v>999-74461-0042</v>
      </c>
      <c r="C543" s="2" t="str">
        <f xml:space="preserve"> _xll.EPMOlapMemberO("[BRAND].[].[ GAULOISES BLONDES]",""," GAULOISES BLONDES","","000")</f>
        <v xml:space="preserve"> GAULOISES BLONDES</v>
      </c>
      <c r="D543" s="2" t="str">
        <f xml:space="preserve"> _xll.EPMOlapMemberO("[AM2MARKETDESCR].[].[POLAND]","","POLAND","","000")</f>
        <v>POLAND</v>
      </c>
      <c r="E543" s="2" t="str">
        <f xml:space="preserve"> _xll.EPMOlapMemberO("[AM2PARENTCUSTGROUP].[].[__NULL]","","(None)","","000")</f>
        <v>(None)</v>
      </c>
      <c r="F543" s="2" t="str">
        <f xml:space="preserve"> _xll.EPMOlapMemberO("[KEY_FIGURES].[].[CONFIRMEDPRODUCTION]","","Production Order","","000")</f>
        <v>Production Order</v>
      </c>
      <c r="AR543" s="2">
        <v>168</v>
      </c>
      <c r="AU543" s="2">
        <v>85.909000000000006</v>
      </c>
      <c r="AV543" s="2">
        <v>405</v>
      </c>
      <c r="AY543" s="2">
        <v>159.54499999999999</v>
      </c>
    </row>
    <row r="544" spans="1:52" x14ac:dyDescent="0.35">
      <c r="A544" s="2" t="str">
        <f xml:space="preserve"> _xll.EPMOlapMemberO("[LOCID].[].[Munich plant]","","Munich plant","","000")</f>
        <v>Munich plant</v>
      </c>
      <c r="B544" s="2" t="str">
        <f xml:space="preserve"> _xll.EPMOlapMemberO("[PRDID].[].[999-74461-0043]","","999-74461-0043","","000")</f>
        <v>999-74461-0043</v>
      </c>
      <c r="C544" s="2" t="str">
        <f xml:space="preserve"> _xll.EPMOlapMemberO("[BRAND].[].[ GAULOISES BLONDES]",""," GAULOISES BLONDES","","000")</f>
        <v xml:space="preserve"> GAULOISES BLONDES</v>
      </c>
      <c r="D544" s="2" t="str">
        <f xml:space="preserve"> _xll.EPMOlapMemberO("[AM2MARKETDESCR].[].[GERMANY]","","GERMANY","","000")</f>
        <v>GERMANY</v>
      </c>
      <c r="E544" s="2" t="str">
        <f xml:space="preserve"> _xll.EPMOlapMemberO("[AM2PARENTCUSTGROUP].[].[__NULL]","","(None)","","000")</f>
        <v>(None)</v>
      </c>
      <c r="F544" s="2" t="str">
        <f xml:space="preserve"> _xll.EPMOlapMemberO("[KEY_FIGURES].[].[INITIALINVENTORY]","","Stock","","000")</f>
        <v>Stock</v>
      </c>
      <c r="AQ544" s="2">
        <v>1344</v>
      </c>
    </row>
    <row r="545" spans="1:52" x14ac:dyDescent="0.35">
      <c r="A545" s="2" t="str">
        <f xml:space="preserve"> _xll.EPMOlapMemberO("[LOCID].[].[Munich plant]","","Munich plant","","000")</f>
        <v>Munich plant</v>
      </c>
      <c r="B545" s="2" t="str">
        <f xml:space="preserve"> _xll.EPMOlapMemberO("[PRDID].[].[999-74461-0043]","","999-74461-0043","","000")</f>
        <v>999-74461-0043</v>
      </c>
      <c r="C545" s="2" t="str">
        <f xml:space="preserve"> _xll.EPMOlapMemberO("[BRAND].[].[ GAULOISES BLONDES]",""," GAULOISES BLONDES","","000")</f>
        <v xml:space="preserve"> GAULOISES BLONDES</v>
      </c>
      <c r="D545" s="2" t="str">
        <f xml:space="preserve"> _xll.EPMOlapMemberO("[AM2MARKETDESCR].[].[GERMANY]","","GERMANY","","000")</f>
        <v>GERMANY</v>
      </c>
      <c r="E545" s="2" t="str">
        <f xml:space="preserve"> _xll.EPMOlapMemberO("[AM2PARENTCUSTGROUP].[].[__NULL]","","(None)","","000")</f>
        <v>(None)</v>
      </c>
      <c r="F545" s="2" t="str">
        <f xml:space="preserve"> _xll.EPMOlapMemberO("[KEY_FIGURES].[].[CONFIRMEDPRODUCTION]","","Production Order","","000")</f>
        <v>Production Order</v>
      </c>
      <c r="AS545" s="2">
        <v>6000</v>
      </c>
      <c r="AU545" s="2">
        <v>2404.6559999999999</v>
      </c>
      <c r="AV545" s="2">
        <v>6000</v>
      </c>
      <c r="AX545" s="2">
        <v>4499.6549999999997</v>
      </c>
    </row>
    <row r="546" spans="1:52" x14ac:dyDescent="0.35">
      <c r="A546" s="2" t="str">
        <f xml:space="preserve"> _xll.EPMOlapMemberO("[LOCID].[].[Munich plant]","","Munich plant","","000")</f>
        <v>Munich plant</v>
      </c>
      <c r="B546" s="2" t="str">
        <f xml:space="preserve"> _xll.EPMOlapMemberO("[PRDID].[].[999-74461-0044]","","999-74461-0044","","000")</f>
        <v>999-74461-0044</v>
      </c>
      <c r="C546" s="2" t="str">
        <f xml:space="preserve"> _xll.EPMOlapMemberO("[BRAND].[].[ GAULOISES BLONDES]",""," GAULOISES BLONDES","","000")</f>
        <v xml:space="preserve"> GAULOISES BLONDES</v>
      </c>
      <c r="D546" s="2" t="str">
        <f xml:space="preserve"> _xll.EPMOlapMemberO("[AM2MARKETDESCR].[].[CZECH REPUBLIC]","","CZECH REPUBLIC","","000")</f>
        <v>CZECH REPUBLIC</v>
      </c>
      <c r="E546" s="2" t="str">
        <f xml:space="preserve"> _xll.EPMOlapMemberO("[AM2PARENTCUSTGROUP].[].[__NULL]","","(None)","","000")</f>
        <v>(None)</v>
      </c>
      <c r="F546" s="2" t="str">
        <f xml:space="preserve"> _xll.EPMOlapMemberO("[KEY_FIGURES].[].[CONFIRMEDPRODUCTION]","","Production Order","","000")</f>
        <v>Production Order</v>
      </c>
      <c r="AT546" s="2">
        <v>49.091000000000001</v>
      </c>
      <c r="AW546" s="2">
        <v>73.635999999999996</v>
      </c>
      <c r="AZ546" s="2">
        <v>110.455</v>
      </c>
    </row>
    <row r="547" spans="1:52" x14ac:dyDescent="0.35">
      <c r="A547" s="2" t="str">
        <f xml:space="preserve"> _xll.EPMOlapMemberO("[LOCID].[].[Munich plant]","","Munich plant","","000")</f>
        <v>Munich plant</v>
      </c>
      <c r="B547" s="2" t="str">
        <f xml:space="preserve"> _xll.EPMOlapMemberO("[PRDID].[].[999-74461-0045]","","999-74461-0045","","000")</f>
        <v>999-74461-0045</v>
      </c>
      <c r="C547" s="2" t="str">
        <f xml:space="preserve"> _xll.EPMOlapMemberO("[BRAND].[].[ GAULOISES BLONDES]",""," GAULOISES BLONDES","","000")</f>
        <v xml:space="preserve"> GAULOISES BLONDES</v>
      </c>
      <c r="D547" s="2" t="str">
        <f xml:space="preserve"> _xll.EPMOlapMemberO("[AM2MARKETDESCR].[].[GERMANY]","","GERMANY","","000")</f>
        <v>GERMANY</v>
      </c>
      <c r="E547" s="2" t="str">
        <f xml:space="preserve"> _xll.EPMOlapMemberO("[AM2PARENTCUSTGROUP].[].[__NULL]","","(None)","","000")</f>
        <v>(None)</v>
      </c>
      <c r="F547" s="2" t="str">
        <f xml:space="preserve"> _xll.EPMOlapMemberO("[KEY_FIGURES].[].[CONFIRMEDPRODUCTION]","","Production Order","","000")</f>
        <v>Production Order</v>
      </c>
      <c r="AT547" s="2">
        <v>1462.5</v>
      </c>
      <c r="AV547" s="2">
        <v>1681.875</v>
      </c>
      <c r="AW547" s="2">
        <v>168.75</v>
      </c>
      <c r="AY547" s="2">
        <v>1867.5</v>
      </c>
    </row>
    <row r="548" spans="1:52" x14ac:dyDescent="0.35">
      <c r="A548" s="2" t="str">
        <f xml:space="preserve"> _xll.EPMOlapMemberO("[LOCID].[].[Munich plant]","","Munich plant","","000")</f>
        <v>Munich plant</v>
      </c>
      <c r="B548" s="2" t="str">
        <f xml:space="preserve"> _xll.EPMOlapMemberO("[PRDID].[].[999-74461-0046]","","999-74461-0046","","000")</f>
        <v>999-74461-0046</v>
      </c>
      <c r="C548" s="2" t="str">
        <f xml:space="preserve"> _xll.EPMOlapMemberO("[BRAND].[].[ GAULOISES BLONDES]",""," GAULOISES BLONDES","","000")</f>
        <v xml:space="preserve"> GAULOISES BLONDES</v>
      </c>
      <c r="D548" s="2" t="str">
        <f xml:space="preserve"> _xll.EPMOlapMemberO("[AM2MARKETDESCR].[].[GERMANY]","","GERMANY","","000")</f>
        <v>GERMANY</v>
      </c>
      <c r="E548" s="2" t="str">
        <f xml:space="preserve"> _xll.EPMOlapMemberO("[AM2PARENTCUSTGROUP].[].[__NULL]","","(None)","","000")</f>
        <v>(None)</v>
      </c>
      <c r="F548" s="2" t="str">
        <f xml:space="preserve"> _xll.EPMOlapMemberO("[KEY_FIGURES].[].[INITIALINVENTORY]","","Stock","","000")</f>
        <v>Stock</v>
      </c>
      <c r="AQ548" s="2">
        <v>1764</v>
      </c>
    </row>
    <row r="549" spans="1:52" x14ac:dyDescent="0.35">
      <c r="A549" s="2" t="str">
        <f xml:space="preserve"> _xll.EPMOlapMemberO("[LOCID].[].[Munich plant]","","Munich plant","","000")</f>
        <v>Munich plant</v>
      </c>
      <c r="B549" s="2" t="str">
        <f xml:space="preserve"> _xll.EPMOlapMemberO("[PRDID].[].[999-74461-0046]","","999-74461-0046","","000")</f>
        <v>999-74461-0046</v>
      </c>
      <c r="C549" s="2" t="str">
        <f xml:space="preserve"> _xll.EPMOlapMemberO("[BRAND].[].[ GAULOISES BLONDES]",""," GAULOISES BLONDES","","000")</f>
        <v xml:space="preserve"> GAULOISES BLONDES</v>
      </c>
      <c r="D549" s="2" t="str">
        <f xml:space="preserve"> _xll.EPMOlapMemberO("[AM2MARKETDESCR].[].[GERMANY]","","GERMANY","","000")</f>
        <v>GERMANY</v>
      </c>
      <c r="E549" s="2" t="str">
        <f xml:space="preserve"> _xll.EPMOlapMemberO("[AM2PARENTCUSTGROUP].[].[__NULL]","","(None)","","000")</f>
        <v>(None)</v>
      </c>
      <c r="F549" s="2" t="str">
        <f xml:space="preserve"> _xll.EPMOlapMemberO("[KEY_FIGURES].[].[CONFIRMEDPRODUCTION]","","Production Order","","000")</f>
        <v>Production Order</v>
      </c>
      <c r="AS549" s="2">
        <v>6000</v>
      </c>
      <c r="AT549" s="2">
        <v>3225</v>
      </c>
      <c r="AV549" s="2">
        <v>720</v>
      </c>
      <c r="AX549" s="2">
        <v>6000</v>
      </c>
      <c r="AZ549" s="2">
        <v>4827.8540000000003</v>
      </c>
    </row>
    <row r="550" spans="1:52" x14ac:dyDescent="0.35">
      <c r="A550" s="2" t="str">
        <f xml:space="preserve"> _xll.EPMOlapMemberO("[LOCID].[].[Munich plant]","","Munich plant","","000")</f>
        <v>Munich plant</v>
      </c>
      <c r="B550" s="2" t="str">
        <f xml:space="preserve"> _xll.EPMOlapMemberO("[PRDID].[].[999-74461-0047]","","999-74461-0047","","000")</f>
        <v>999-74461-0047</v>
      </c>
      <c r="C550" s="2" t="str">
        <f xml:space="preserve"> _xll.EPMOlapMemberO("[BRAND].[].[ GAULOISES BLONDES]",""," GAULOISES BLONDES","","000")</f>
        <v xml:space="preserve"> GAULOISES BLONDES</v>
      </c>
      <c r="D550" s="2" t="str">
        <f xml:space="preserve"> _xll.EPMOlapMemberO("[AM2MARKETDESCR].[].[GERMANY]","","GERMANY","","000")</f>
        <v>GERMANY</v>
      </c>
      <c r="E550" s="2" t="str">
        <f xml:space="preserve"> _xll.EPMOlapMemberO("[AM2PARENTCUSTGROUP].[].[__NULL]","","(None)","","000")</f>
        <v>(None)</v>
      </c>
      <c r="F550" s="2" t="str">
        <f xml:space="preserve"> _xll.EPMOlapMemberO("[KEY_FIGURES].[].[INITIALINVENTORY]","","Stock","","000")</f>
        <v>Stock</v>
      </c>
      <c r="AQ550" s="2">
        <v>84</v>
      </c>
    </row>
    <row r="551" spans="1:52" x14ac:dyDescent="0.35">
      <c r="A551" s="2" t="str">
        <f xml:space="preserve"> _xll.EPMOlapMemberO("[LOCID].[].[Munich plant]","","Munich plant","","000")</f>
        <v>Munich plant</v>
      </c>
      <c r="B551" s="2" t="str">
        <f xml:space="preserve"> _xll.EPMOlapMemberO("[PRDID].[].[999-74461-0047]","","999-74461-0047","","000")</f>
        <v>999-74461-0047</v>
      </c>
      <c r="C551" s="2" t="str">
        <f xml:space="preserve"> _xll.EPMOlapMemberO("[BRAND].[].[ GAULOISES BLONDES]",""," GAULOISES BLONDES","","000")</f>
        <v xml:space="preserve"> GAULOISES BLONDES</v>
      </c>
      <c r="D551" s="2" t="str">
        <f xml:space="preserve"> _xll.EPMOlapMemberO("[AM2MARKETDESCR].[].[GERMANY]","","GERMANY","","000")</f>
        <v>GERMANY</v>
      </c>
      <c r="E551" s="2" t="str">
        <f xml:space="preserve"> _xll.EPMOlapMemberO("[AM2PARENTCUSTGROUP].[].[__NULL]","","(None)","","000")</f>
        <v>(None)</v>
      </c>
      <c r="F551" s="2" t="str">
        <f xml:space="preserve"> _xll.EPMOlapMemberO("[KEY_FIGURES].[].[CONFIRMEDPRODUCTION]","","Production Order","","000")</f>
        <v>Production Order</v>
      </c>
      <c r="AT551" s="2">
        <v>405</v>
      </c>
      <c r="AV551" s="2">
        <v>495</v>
      </c>
      <c r="AW551" s="2">
        <v>56.25</v>
      </c>
      <c r="AY551" s="2">
        <v>506.25</v>
      </c>
    </row>
    <row r="552" spans="1:52" x14ac:dyDescent="0.35">
      <c r="A552" s="2" t="str">
        <f xml:space="preserve"> _xll.EPMOlapMemberO("[LOCID].[].[Munich plant]","","Munich plant","","000")</f>
        <v>Munich plant</v>
      </c>
      <c r="B552" s="2" t="str">
        <f xml:space="preserve"> _xll.EPMOlapMemberO("[PRDID].[].[999-74461-0048]","","999-74461-0048","","000")</f>
        <v>999-74461-0048</v>
      </c>
      <c r="C552" s="2" t="str">
        <f xml:space="preserve"> _xll.EPMOlapMemberO("[BRAND].[].[ GAULOISES BLONDES]",""," GAULOISES BLONDES","","000")</f>
        <v xml:space="preserve"> GAULOISES BLONDES</v>
      </c>
      <c r="D552" s="2" t="str">
        <f xml:space="preserve"> _xll.EPMOlapMemberO("[AM2MARKETDESCR].[].[SPAIN]","","SPAIN","","000")</f>
        <v>SPAIN</v>
      </c>
      <c r="E552" s="2" t="str">
        <f xml:space="preserve"> _xll.EPMOlapMemberO("[AM2PARENTCUSTGROUP].[].[__NULL]","","(None)","","000")</f>
        <v>(None)</v>
      </c>
      <c r="F552" s="2" t="str">
        <f xml:space="preserve"> _xll.EPMOlapMemberO("[KEY_FIGURES].[].[CONFIRMEDPRODUCTION]","","Production Order","","000")</f>
        <v>Production Order</v>
      </c>
      <c r="AR552" s="2">
        <v>84</v>
      </c>
      <c r="AS552" s="2">
        <v>45</v>
      </c>
      <c r="AW552" s="2">
        <v>67.5</v>
      </c>
      <c r="AZ552" s="2">
        <v>157.5</v>
      </c>
    </row>
    <row r="553" spans="1:52" x14ac:dyDescent="0.35">
      <c r="A553" s="2" t="str">
        <f xml:space="preserve"> _xll.EPMOlapMemberO("[LOCID].[].[Munich plant]","","Munich plant","","000")</f>
        <v>Munich plant</v>
      </c>
      <c r="B553" s="2" t="str">
        <f xml:space="preserve"> _xll.EPMOlapMemberO("[PRDID].[].[999-74461-0049]","","999-74461-0049","","000")</f>
        <v>999-74461-0049</v>
      </c>
      <c r="C553" s="2" t="str">
        <f xml:space="preserve"> _xll.EPMOlapMemberO("[BRAND].[].[ GAULOISES BLONDES]",""," GAULOISES BLONDES","","000")</f>
        <v xml:space="preserve"> GAULOISES BLONDES</v>
      </c>
      <c r="D553" s="2" t="str">
        <f xml:space="preserve"> _xll.EPMOlapMemberO("[AM2MARKETDESCR].[].[SPAIN]","","SPAIN","","000")</f>
        <v>SPAIN</v>
      </c>
      <c r="E553" s="2" t="str">
        <f xml:space="preserve"> _xll.EPMOlapMemberO("[AM2PARENTCUSTGROUP].[].[__NULL]","","(None)","","000")</f>
        <v>(None)</v>
      </c>
      <c r="F553" s="2" t="str">
        <f xml:space="preserve"> _xll.EPMOlapMemberO("[KEY_FIGURES].[].[INITIALINVENTORY]","","Stock","","000")</f>
        <v>Stock</v>
      </c>
      <c r="AQ553" s="2">
        <v>84</v>
      </c>
    </row>
    <row r="554" spans="1:52" x14ac:dyDescent="0.35">
      <c r="A554" s="2" t="str">
        <f xml:space="preserve"> _xll.EPMOlapMemberO("[LOCID].[].[Munich plant]","","Munich plant","","000")</f>
        <v>Munich plant</v>
      </c>
      <c r="B554" s="2" t="str">
        <f xml:space="preserve"> _xll.EPMOlapMemberO("[PRDID].[].[999-74461-0049]","","999-74461-0049","","000")</f>
        <v>999-74461-0049</v>
      </c>
      <c r="C554" s="2" t="str">
        <f xml:space="preserve"> _xll.EPMOlapMemberO("[BRAND].[].[ GAULOISES BLONDES]",""," GAULOISES BLONDES","","000")</f>
        <v xml:space="preserve"> GAULOISES BLONDES</v>
      </c>
      <c r="D554" s="2" t="str">
        <f xml:space="preserve"> _xll.EPMOlapMemberO("[AM2MARKETDESCR].[].[SPAIN]","","SPAIN","","000")</f>
        <v>SPAIN</v>
      </c>
      <c r="E554" s="2" t="str">
        <f xml:space="preserve"> _xll.EPMOlapMemberO("[AM2PARENTCUSTGROUP].[].[__NULL]","","(None)","","000")</f>
        <v>(None)</v>
      </c>
      <c r="F554" s="2" t="str">
        <f xml:space="preserve"> _xll.EPMOlapMemberO("[KEY_FIGURES].[].[CONFIRMEDPRODUCTION]","","Production Order","","000")</f>
        <v>Production Order</v>
      </c>
      <c r="AU554" s="2">
        <v>135</v>
      </c>
      <c r="AZ554" s="2">
        <v>180</v>
      </c>
    </row>
    <row r="555" spans="1:52" x14ac:dyDescent="0.35">
      <c r="A555" s="2" t="str">
        <f xml:space="preserve"> _xll.EPMOlapMemberO("[LOCID].[].[Munich plant]","","Munich plant","","000")</f>
        <v>Munich plant</v>
      </c>
      <c r="B555" s="2" t="str">
        <f xml:space="preserve"> _xll.EPMOlapMemberO("[PRDID].[].[999-74461-0050]","","999-74461-0050","","000")</f>
        <v>999-74461-0050</v>
      </c>
      <c r="C555" s="2" t="str">
        <f xml:space="preserve"> _xll.EPMOlapMemberO("[BRAND].[].[ GAULOISES BLONDES]",""," GAULOISES BLONDES","","000")</f>
        <v xml:space="preserve"> GAULOISES BLONDES</v>
      </c>
      <c r="D555" s="2" t="str">
        <f xml:space="preserve"> _xll.EPMOlapMemberO("[AM2MARKETDESCR].[].[AUSTRIA]","","AUSTRIA","","000")</f>
        <v>AUSTRIA</v>
      </c>
      <c r="E555" s="2" t="str">
        <f xml:space="preserve"> _xll.EPMOlapMemberO("[AM2PARENTCUSTGROUP].[].[__NULL]","","(None)","","000")</f>
        <v>(None)</v>
      </c>
      <c r="F555" s="2" t="str">
        <f xml:space="preserve"> _xll.EPMOlapMemberO("[KEY_FIGURES].[].[CONFIRMEDPRODUCTION]","","Production Order","","000")</f>
        <v>Production Order</v>
      </c>
      <c r="AT555" s="2">
        <v>658.8</v>
      </c>
      <c r="AX555" s="2">
        <v>734.4</v>
      </c>
    </row>
    <row r="556" spans="1:52" x14ac:dyDescent="0.35">
      <c r="A556" s="2" t="str">
        <f xml:space="preserve"> _xll.EPMOlapMemberO("[LOCID].[].[Munich plant]","","Munich plant","","000")</f>
        <v>Munich plant</v>
      </c>
      <c r="B556" s="2" t="str">
        <f xml:space="preserve"> _xll.EPMOlapMemberO("[PRDID].[].[999-74461-0051]","","999-74461-0051","","000")</f>
        <v>999-74461-0051</v>
      </c>
      <c r="C556" s="2" t="str">
        <f xml:space="preserve"> _xll.EPMOlapMemberO("[BRAND].[].[ GAULOISES BLONDES]",""," GAULOISES BLONDES","","000")</f>
        <v xml:space="preserve"> GAULOISES BLONDES</v>
      </c>
      <c r="D556" s="2" t="str">
        <f xml:space="preserve"> _xll.EPMOlapMemberO("[AM2MARKETDESCR].[].[GERMANY]","","GERMANY","","000")</f>
        <v>GERMANY</v>
      </c>
      <c r="E556" s="2" t="str">
        <f xml:space="preserve"> _xll.EPMOlapMemberO("[AM2PARENTCUSTGROUP].[].[__NULL]","","(None)","","000")</f>
        <v>(None)</v>
      </c>
      <c r="F556" s="2" t="str">
        <f xml:space="preserve"> _xll.EPMOlapMemberO("[KEY_FIGURES].[].[INITIALINVENTORY]","","Stock","","000")</f>
        <v>Stock</v>
      </c>
      <c r="AQ556" s="2">
        <v>336</v>
      </c>
    </row>
    <row r="557" spans="1:52" x14ac:dyDescent="0.35">
      <c r="A557" s="2" t="str">
        <f xml:space="preserve"> _xll.EPMOlapMemberO("[LOCID].[].[Munich plant]","","Munich plant","","000")</f>
        <v>Munich plant</v>
      </c>
      <c r="B557" s="2" t="str">
        <f xml:space="preserve"> _xll.EPMOlapMemberO("[PRDID].[].[999-74461-0051]","","999-74461-0051","","000")</f>
        <v>999-74461-0051</v>
      </c>
      <c r="C557" s="2" t="str">
        <f xml:space="preserve"> _xll.EPMOlapMemberO("[BRAND].[].[ GAULOISES BLONDES]",""," GAULOISES BLONDES","","000")</f>
        <v xml:space="preserve"> GAULOISES BLONDES</v>
      </c>
      <c r="D557" s="2" t="str">
        <f xml:space="preserve"> _xll.EPMOlapMemberO("[AM2MARKETDESCR].[].[GERMANY]","","GERMANY","","000")</f>
        <v>GERMANY</v>
      </c>
      <c r="E557" s="2" t="str">
        <f xml:space="preserve"> _xll.EPMOlapMemberO("[AM2PARENTCUSTGROUP].[].[__NULL]","","(None)","","000")</f>
        <v>(None)</v>
      </c>
      <c r="F557" s="2" t="str">
        <f xml:space="preserve"> _xll.EPMOlapMemberO("[KEY_FIGURES].[].[CONFIRMEDPRODUCTION]","","Production Order","","000")</f>
        <v>Production Order</v>
      </c>
      <c r="AT557" s="2">
        <v>90</v>
      </c>
      <c r="AW557" s="2">
        <v>315</v>
      </c>
      <c r="AY557" s="2">
        <v>337.5</v>
      </c>
    </row>
    <row r="558" spans="1:52" x14ac:dyDescent="0.35">
      <c r="A558" s="2" t="str">
        <f xml:space="preserve"> _xll.EPMOlapMemberO("[LOCID].[].[Munich plant]","","Munich plant","","000")</f>
        <v>Munich plant</v>
      </c>
      <c r="B558" s="2" t="str">
        <f xml:space="preserve"> _xll.EPMOlapMemberO("[PRDID].[].[999-74462-0007]","","999-74462-0007","","000")</f>
        <v>999-74462-0007</v>
      </c>
      <c r="C558" s="2" t="str">
        <f xml:space="preserve"> _xll.EPMOlapMemberO("[BRAND].[].[ GAULOISES BLONDES]",""," GAULOISES BLONDES","","000")</f>
        <v xml:space="preserve"> GAULOISES BLONDES</v>
      </c>
      <c r="D558" s="2" t="str">
        <f xml:space="preserve"> _xll.EPMOlapMemberO("[AM2MARKETDESCR].[].[LUXEMBURG]","","LUXEMBURG","","000")</f>
        <v>LUXEMBURG</v>
      </c>
      <c r="E558" s="2" t="str">
        <f xml:space="preserve"> _xll.EPMOlapMemberO("[AM2PARENTCUSTGROUP].[].[__NULL]","","(None)","","000")</f>
        <v>(None)</v>
      </c>
      <c r="F558" s="2" t="str">
        <f xml:space="preserve"> _xll.EPMOlapMemberO("[KEY_FIGURES].[].[CONFIRMEDPRODUCTION]","","Production Order","","000")</f>
        <v>Production Order</v>
      </c>
      <c r="AR558" s="2">
        <v>357</v>
      </c>
      <c r="AS558" s="2">
        <v>81</v>
      </c>
      <c r="AV558" s="2">
        <v>220</v>
      </c>
      <c r="AZ558" s="2">
        <v>263.33300000000003</v>
      </c>
    </row>
    <row r="559" spans="1:52" x14ac:dyDescent="0.35">
      <c r="A559" s="2" t="str">
        <f xml:space="preserve"> _xll.EPMOlapMemberO("[LOCID].[].[Munich plant]","","Munich plant","","000")</f>
        <v>Munich plant</v>
      </c>
      <c r="B559" s="2" t="str">
        <f xml:space="preserve"> _xll.EPMOlapMemberO("[PRDID].[].[999-74462-0008]","","999-74462-0008","","000")</f>
        <v>999-74462-0008</v>
      </c>
      <c r="C559" s="2" t="str">
        <f xml:space="preserve"> _xll.EPMOlapMemberO("[BRAND].[].[ GAULOISES BLONDES]",""," GAULOISES BLONDES","","000")</f>
        <v xml:space="preserve"> GAULOISES BLONDES</v>
      </c>
      <c r="D559" s="2" t="str">
        <f xml:space="preserve"> _xll.EPMOlapMemberO("[AM2MARKETDESCR].[].[LUXEMBURG]","","LUXEMBURG","","000")</f>
        <v>LUXEMBURG</v>
      </c>
      <c r="E559" s="2" t="str">
        <f xml:space="preserve"> _xll.EPMOlapMemberO("[AM2PARENTCUSTGROUP].[].[__NULL]","","(None)","","000")</f>
        <v>(None)</v>
      </c>
      <c r="F559" s="2" t="str">
        <f xml:space="preserve"> _xll.EPMOlapMemberO("[KEY_FIGURES].[].[CONFIRMEDPRODUCTION]","","Production Order","","000")</f>
        <v>Production Order</v>
      </c>
      <c r="AS559" s="2">
        <v>486</v>
      </c>
      <c r="AT559" s="2">
        <v>450</v>
      </c>
      <c r="AW559" s="2">
        <v>350</v>
      </c>
      <c r="AZ559" s="2">
        <v>480</v>
      </c>
    </row>
    <row r="560" spans="1:52" x14ac:dyDescent="0.35">
      <c r="A560" s="2" t="str">
        <f xml:space="preserve"> _xll.EPMOlapMemberO("[LOCID].[].[Munich plant]","","Munich plant","","000")</f>
        <v>Munich plant</v>
      </c>
      <c r="B560" s="2" t="str">
        <f xml:space="preserve"> _xll.EPMOlapMemberO("[PRDID].[].[999-74464-0011]","","999-74464-0011","","000")</f>
        <v>999-74464-0011</v>
      </c>
      <c r="C560" s="2" t="str">
        <f xml:space="preserve"> _xll.EPMOlapMemberO("[BRAND].[].[ GAULOISES BLONDES]",""," GAULOISES BLONDES","","000")</f>
        <v xml:space="preserve"> GAULOISES BLONDES</v>
      </c>
      <c r="D560" s="2" t="str">
        <f xml:space="preserve"> _xll.EPMOlapMemberO("[AM2MARKETDESCR].[].[GERMANY]","","GERMANY","","000")</f>
        <v>GERMANY</v>
      </c>
      <c r="E560" s="2" t="str">
        <f xml:space="preserve"> _xll.EPMOlapMemberO("[AM2PARENTCUSTGROUP].[].[__NULL]","","(None)","","000")</f>
        <v>(None)</v>
      </c>
      <c r="F560" s="2" t="str">
        <f xml:space="preserve"> _xll.EPMOlapMemberO("[KEY_FIGURES].[].[CONFIRMEDPRODUCTION]","","Production Order","","000")</f>
        <v>Production Order</v>
      </c>
      <c r="AU560" s="2">
        <v>200</v>
      </c>
      <c r="AY560" s="2">
        <v>200</v>
      </c>
    </row>
    <row r="561" spans="1:52" x14ac:dyDescent="0.35">
      <c r="A561" s="2" t="str">
        <f xml:space="preserve"> _xll.EPMOlapMemberO("[LOCID].[].[Munich plant]","","Munich plant","","000")</f>
        <v>Munich plant</v>
      </c>
      <c r="B561" s="2" t="str">
        <f xml:space="preserve"> _xll.EPMOlapMemberO("[PRDID].[].[999-74464-0012]","","999-74464-0012","","000")</f>
        <v>999-74464-0012</v>
      </c>
      <c r="C561" s="2" t="str">
        <f xml:space="preserve"> _xll.EPMOlapMemberO("[BRAND].[].[ GAULOISES BLONDES]",""," GAULOISES BLONDES","","000")</f>
        <v xml:space="preserve"> GAULOISES BLONDES</v>
      </c>
      <c r="D561" s="2" t="str">
        <f xml:space="preserve"> _xll.EPMOlapMemberO("[AM2MARKETDESCR].[].[AUSTRIA]","","AUSTRIA","","000")</f>
        <v>AUSTRIA</v>
      </c>
      <c r="E561" s="2" t="str">
        <f xml:space="preserve"> _xll.EPMOlapMemberO("[AM2PARENTCUSTGROUP].[].[__NULL]","","(None)","","000")</f>
        <v>(None)</v>
      </c>
      <c r="F561" s="2" t="str">
        <f xml:space="preserve"> _xll.EPMOlapMemberO("[KEY_FIGURES].[].[CONFIRMEDPRODUCTION]","","Production Order","","000")</f>
        <v>Production Order</v>
      </c>
      <c r="AY561" s="2">
        <v>0.33300000000000002</v>
      </c>
    </row>
    <row r="562" spans="1:52" x14ac:dyDescent="0.35">
      <c r="A562" s="2" t="str">
        <f xml:space="preserve"> _xll.EPMOlapMemberO("[LOCID].[].[Munich plant]","","Munich plant","","000")</f>
        <v>Munich plant</v>
      </c>
      <c r="B562" s="2" t="str">
        <f xml:space="preserve"> _xll.EPMOlapMemberO("[PRDID].[].[999-74464-0018]","","999-74464-0018","","000")</f>
        <v>999-74464-0018</v>
      </c>
      <c r="C562" s="2" t="str">
        <f xml:space="preserve"> _xll.EPMOlapMemberO("[BRAND].[].[ GAULOISES BLONDES]",""," GAULOISES BLONDES","","000")</f>
        <v xml:space="preserve"> GAULOISES BLONDES</v>
      </c>
      <c r="D562" s="2" t="str">
        <f xml:space="preserve"> _xll.EPMOlapMemberO("[AM2MARKETDESCR].[].[GERMANY]","","GERMANY","","000")</f>
        <v>GERMANY</v>
      </c>
      <c r="E562" s="2" t="str">
        <f xml:space="preserve"> _xll.EPMOlapMemberO("[AM2PARENTCUSTGROUP].[].[__NULL]","","(None)","","000")</f>
        <v>(None)</v>
      </c>
      <c r="F562" s="2" t="str">
        <f xml:space="preserve"> _xll.EPMOlapMemberO("[KEY_FIGURES].[].[CONFIRMEDPRODUCTION]","","Production Order","","000")</f>
        <v>Production Order</v>
      </c>
      <c r="AU562" s="2">
        <v>260</v>
      </c>
      <c r="AY562" s="2">
        <v>250</v>
      </c>
    </row>
    <row r="563" spans="1:52" x14ac:dyDescent="0.35">
      <c r="A563" s="2" t="str">
        <f xml:space="preserve"> _xll.EPMOlapMemberO("[LOCID].[].[Munich plant]","","Munich plant","","000")</f>
        <v>Munich plant</v>
      </c>
      <c r="B563" s="2" t="str">
        <f xml:space="preserve"> _xll.EPMOlapMemberO("[PRDID].[].[999-74464-0050]","","999-74464-0050","","000")</f>
        <v>999-74464-0050</v>
      </c>
      <c r="C563" s="2" t="str">
        <f xml:space="preserve"> _xll.EPMOlapMemberO("[BRAND].[].[ GAULOISES BLONDES]",""," GAULOISES BLONDES","","000")</f>
        <v xml:space="preserve"> GAULOISES BLONDES</v>
      </c>
      <c r="D563" s="2" t="str">
        <f xml:space="preserve"> _xll.EPMOlapMemberO("[AM2MARKETDESCR].[].[ITALY]","","ITALY","","000")</f>
        <v>ITALY</v>
      </c>
      <c r="E563" s="2" t="str">
        <f xml:space="preserve"> _xll.EPMOlapMemberO("[AM2PARENTCUSTGROUP].[].[__NULL]","","(None)","","000")</f>
        <v>(None)</v>
      </c>
      <c r="F563" s="2" t="str">
        <f xml:space="preserve"> _xll.EPMOlapMemberO("[KEY_FIGURES].[].[CONFIRMEDPRODUCTION]","","Production Order","","000")</f>
        <v>Production Order</v>
      </c>
      <c r="AV563" s="2">
        <v>30</v>
      </c>
      <c r="AZ563" s="2">
        <v>10</v>
      </c>
    </row>
    <row r="564" spans="1:52" x14ac:dyDescent="0.35">
      <c r="A564" s="2" t="str">
        <f xml:space="preserve"> _xll.EPMOlapMemberO("[LOCID].[].[Munich plant]","","Munich plant","","000")</f>
        <v>Munich plant</v>
      </c>
      <c r="B564" s="2" t="str">
        <f xml:space="preserve"> _xll.EPMOlapMemberO("[PRDID].[].[999-74464-0065]","","999-74464-0065","","000")</f>
        <v>999-74464-0065</v>
      </c>
      <c r="C564" s="2" t="str">
        <f xml:space="preserve"> _xll.EPMOlapMemberO("[BRAND].[].[ GAULOISES BLONDES]",""," GAULOISES BLONDES","","000")</f>
        <v xml:space="preserve"> GAULOISES BLONDES</v>
      </c>
      <c r="D564" s="2" t="str">
        <f xml:space="preserve"> _xll.EPMOlapMemberO("[AM2MARKETDESCR].[].[LUXEMBURG]","","LUXEMBURG","","000")</f>
        <v>LUXEMBURG</v>
      </c>
      <c r="E564" s="2" t="str">
        <f xml:space="preserve"> _xll.EPMOlapMemberO("[AM2PARENTCUSTGROUP].[].[__NULL]","","(None)","","000")</f>
        <v>(None)</v>
      </c>
      <c r="F564" s="2" t="str">
        <f xml:space="preserve"> _xll.EPMOlapMemberO("[KEY_FIGURES].[].[CONFIRMEDPRODUCTION]","","Production Order","","000")</f>
        <v>Production Order</v>
      </c>
      <c r="AV564" s="2">
        <v>90</v>
      </c>
      <c r="AY564" s="2">
        <v>95</v>
      </c>
    </row>
    <row r="565" spans="1:52" x14ac:dyDescent="0.35">
      <c r="A565" s="2" t="str">
        <f xml:space="preserve"> _xll.EPMOlapMemberO("[LOCID].[].[Munich plant]","","Munich plant","","000")</f>
        <v>Munich plant</v>
      </c>
      <c r="B565" s="2" t="str">
        <f xml:space="preserve"> _xll.EPMOlapMemberO("[PRDID].[].[999-74464-0066]","","999-74464-0066","","000")</f>
        <v>999-74464-0066</v>
      </c>
      <c r="C565" s="2" t="str">
        <f xml:space="preserve"> _xll.EPMOlapMemberO("[BRAND].[].[ GAULOISES BLONDES]",""," GAULOISES BLONDES","","000")</f>
        <v xml:space="preserve"> GAULOISES BLONDES</v>
      </c>
      <c r="D565" s="2" t="str">
        <f xml:space="preserve"> _xll.EPMOlapMemberO("[AM2MARKETDESCR].[].[LUXEMBURG]","","LUXEMBURG","","000")</f>
        <v>LUXEMBURG</v>
      </c>
      <c r="E565" s="2" t="str">
        <f xml:space="preserve"> _xll.EPMOlapMemberO("[AM2PARENTCUSTGROUP].[].[__NULL]","","(None)","","000")</f>
        <v>(None)</v>
      </c>
      <c r="F565" s="2" t="str">
        <f xml:space="preserve"> _xll.EPMOlapMemberO("[KEY_FIGURES].[].[CONFIRMEDPRODUCTION]","","Production Order","","000")</f>
        <v>Production Order</v>
      </c>
      <c r="AR565" s="2">
        <v>442</v>
      </c>
      <c r="AV565" s="2">
        <v>195</v>
      </c>
      <c r="AZ565" s="2">
        <v>195</v>
      </c>
    </row>
    <row r="566" spans="1:52" x14ac:dyDescent="0.35">
      <c r="A566" s="2" t="str">
        <f xml:space="preserve"> _xll.EPMOlapMemberO("[LOCID].[].[Munich plant]","","Munich plant","","000")</f>
        <v>Munich plant</v>
      </c>
      <c r="B566" s="2" t="str">
        <f xml:space="preserve"> _xll.EPMOlapMemberO("[PRDID].[].[999-74464-0067]","","999-74464-0067","","000")</f>
        <v>999-74464-0067</v>
      </c>
      <c r="C566" s="2" t="str">
        <f xml:space="preserve"> _xll.EPMOlapMemberO("[BRAND].[].[ GAULOISES BLONDES]",""," GAULOISES BLONDES","","000")</f>
        <v xml:space="preserve"> GAULOISES BLONDES</v>
      </c>
      <c r="D566" s="2" t="str">
        <f xml:space="preserve"> _xll.EPMOlapMemberO("[AM2MARKETDESCR].[].[CZECH REPUBLIC]","","CZECH REPUBLIC","","000")</f>
        <v>CZECH REPUBLIC</v>
      </c>
      <c r="E566" s="2" t="str">
        <f xml:space="preserve"> _xll.EPMOlapMemberO("[AM2PARENTCUSTGROUP].[].[__NULL]","","(None)","","000")</f>
        <v>(None)</v>
      </c>
      <c r="F566" s="2" t="str">
        <f xml:space="preserve"> _xll.EPMOlapMemberO("[KEY_FIGURES].[].[INITIALINVENTORY]","","Stock","","000")</f>
        <v>Stock</v>
      </c>
      <c r="AQ566" s="2">
        <v>100.8</v>
      </c>
    </row>
    <row r="567" spans="1:52" x14ac:dyDescent="0.35">
      <c r="A567" s="2" t="str">
        <f xml:space="preserve"> _xll.EPMOlapMemberO("[LOCID].[].[Munich plant]","","Munich plant","","000")</f>
        <v>Munich plant</v>
      </c>
      <c r="B567" s="2" t="str">
        <f xml:space="preserve"> _xll.EPMOlapMemberO("[PRDID].[].[999-74464-0067]","","999-74464-0067","","000")</f>
        <v>999-74464-0067</v>
      </c>
      <c r="C567" s="2" t="str">
        <f xml:space="preserve"> _xll.EPMOlapMemberO("[BRAND].[].[ GAULOISES BLONDES]",""," GAULOISES BLONDES","","000")</f>
        <v xml:space="preserve"> GAULOISES BLONDES</v>
      </c>
      <c r="D567" s="2" t="str">
        <f xml:space="preserve"> _xll.EPMOlapMemberO("[AM2MARKETDESCR].[].[CZECH REPUBLIC]","","CZECH REPUBLIC","","000")</f>
        <v>CZECH REPUBLIC</v>
      </c>
      <c r="E567" s="2" t="str">
        <f xml:space="preserve"> _xll.EPMOlapMemberO("[AM2PARENTCUSTGROUP].[].[__NULL]","","(None)","","000")</f>
        <v>(None)</v>
      </c>
      <c r="F567" s="2" t="str">
        <f xml:space="preserve"> _xll.EPMOlapMemberO("[KEY_FIGURES].[].[CONFIRMEDPRODUCTION]","","Production Order","","000")</f>
        <v>Production Order</v>
      </c>
      <c r="AS567" s="2">
        <v>138.34399999999999</v>
      </c>
      <c r="AV567" s="2">
        <v>130.5</v>
      </c>
      <c r="AY567" s="2">
        <v>174</v>
      </c>
    </row>
    <row r="568" spans="1:52" x14ac:dyDescent="0.35">
      <c r="A568" s="2" t="str">
        <f xml:space="preserve"> _xll.EPMOlapMemberO("[LOCID].[].[Munich plant]","","Munich plant","","000")</f>
        <v>Munich plant</v>
      </c>
      <c r="B568" s="2" t="str">
        <f xml:space="preserve"> _xll.EPMOlapMemberO("[PRDID].[].[999-74464-0068]","","999-74464-0068","","000")</f>
        <v>999-74464-0068</v>
      </c>
      <c r="C568" s="2" t="str">
        <f xml:space="preserve"> _xll.EPMOlapMemberO("[BRAND].[].[ GAULOISES BLONDES]",""," GAULOISES BLONDES","","000")</f>
        <v xml:space="preserve"> GAULOISES BLONDES</v>
      </c>
      <c r="D568" s="2" t="str">
        <f xml:space="preserve"> _xll.EPMOlapMemberO("[AM2MARKETDESCR].[].[CZECH REPUBLIC]","","CZECH REPUBLIC","","000")</f>
        <v>CZECH REPUBLIC</v>
      </c>
      <c r="E568" s="2" t="str">
        <f xml:space="preserve"> _xll.EPMOlapMemberO("[AM2PARENTCUSTGROUP].[].[__NULL]","","(None)","","000")</f>
        <v>(None)</v>
      </c>
      <c r="F568" s="2" t="str">
        <f xml:space="preserve"> _xll.EPMOlapMemberO("[KEY_FIGURES].[].[CONFIRMEDPRODUCTION]","","Production Order","","000")</f>
        <v>Production Order</v>
      </c>
      <c r="AS568" s="2">
        <v>114.178</v>
      </c>
      <c r="AV568" s="2">
        <v>116</v>
      </c>
      <c r="AY568" s="2">
        <v>145</v>
      </c>
    </row>
    <row r="569" spans="1:52" x14ac:dyDescent="0.35">
      <c r="A569" s="2" t="str">
        <f xml:space="preserve"> _xll.EPMOlapMemberO("[LOCID].[].[Munich plant]","","Munich plant","","000")</f>
        <v>Munich plant</v>
      </c>
      <c r="B569" s="2" t="str">
        <f xml:space="preserve"> _xll.EPMOlapMemberO("[PRDID].[].[999-74464-0069]","","999-74464-0069","","000")</f>
        <v>999-74464-0069</v>
      </c>
      <c r="C569" s="2" t="str">
        <f xml:space="preserve"> _xll.EPMOlapMemberO("[BRAND].[].[ GAULOISES BLONDES]",""," GAULOISES BLONDES","","000")</f>
        <v xml:space="preserve"> GAULOISES BLONDES</v>
      </c>
      <c r="D569" s="2" t="str">
        <f xml:space="preserve"> _xll.EPMOlapMemberO("[AM2MARKETDESCR].[].[POLAND]","","POLAND","","000")</f>
        <v>POLAND</v>
      </c>
      <c r="E569" s="2" t="str">
        <f xml:space="preserve"> _xll.EPMOlapMemberO("[AM2PARENTCUSTGROUP].[].[__NULL]","","(None)","","000")</f>
        <v>(None)</v>
      </c>
      <c r="F569" s="2" t="str">
        <f xml:space="preserve"> _xll.EPMOlapMemberO("[KEY_FIGURES].[].[CONFIRMEDPRODUCTION]","","Production Order","","000")</f>
        <v>Production Order</v>
      </c>
      <c r="AR569" s="2">
        <v>454</v>
      </c>
      <c r="AU569" s="2">
        <v>58</v>
      </c>
      <c r="AV569" s="2">
        <v>275.5</v>
      </c>
      <c r="AY569" s="2">
        <v>101.5</v>
      </c>
    </row>
    <row r="570" spans="1:52" x14ac:dyDescent="0.35">
      <c r="A570" s="2" t="str">
        <f xml:space="preserve"> _xll.EPMOlapMemberO("[LOCID].[].[Munich plant]","","Munich plant","","000")</f>
        <v>Munich plant</v>
      </c>
      <c r="B570" s="2" t="str">
        <f xml:space="preserve"> _xll.EPMOlapMemberO("[PRDID].[].[999-74464-0070]","","999-74464-0070","","000")</f>
        <v>999-74464-0070</v>
      </c>
      <c r="C570" s="2" t="str">
        <f xml:space="preserve"> _xll.EPMOlapMemberO("[BRAND].[].[ GAULOISES BLONDES]",""," GAULOISES BLONDES","","000")</f>
        <v xml:space="preserve"> GAULOISES BLONDES</v>
      </c>
      <c r="D570" s="2" t="str">
        <f xml:space="preserve"> _xll.EPMOlapMemberO("[AM2MARKETDESCR].[].[POLAND]","","POLAND","","000")</f>
        <v>POLAND</v>
      </c>
      <c r="E570" s="2" t="str">
        <f xml:space="preserve"> _xll.EPMOlapMemberO("[AM2PARENTCUSTGROUP].[].[__NULL]","","(None)","","000")</f>
        <v>(None)</v>
      </c>
      <c r="F570" s="2" t="str">
        <f xml:space="preserve"> _xll.EPMOlapMemberO("[KEY_FIGURES].[].[CONFIRMEDPRODUCTION]","","Production Order","","000")</f>
        <v>Production Order</v>
      </c>
      <c r="AR570" s="2">
        <v>201.6</v>
      </c>
      <c r="AU570" s="2">
        <v>72.5</v>
      </c>
      <c r="AV570" s="2">
        <v>319</v>
      </c>
      <c r="AY570" s="2">
        <v>116</v>
      </c>
    </row>
    <row r="571" spans="1:52" x14ac:dyDescent="0.35">
      <c r="A571" s="2" t="str">
        <f xml:space="preserve"> _xll.EPMOlapMemberO("[LOCID].[].[Munich plant]","","Munich plant","","000")</f>
        <v>Munich plant</v>
      </c>
      <c r="B571" s="2" t="str">
        <f xml:space="preserve"> _xll.EPMOlapMemberO("[PRDID].[].[999-74464-0071]","","999-74464-0071","","000")</f>
        <v>999-74464-0071</v>
      </c>
      <c r="C571" s="2" t="str">
        <f xml:space="preserve"> _xll.EPMOlapMemberO("[BRAND].[].[ GAULOISES BLONDES]",""," GAULOISES BLONDES","","000")</f>
        <v xml:space="preserve"> GAULOISES BLONDES</v>
      </c>
      <c r="D571" s="2" t="str">
        <f xml:space="preserve"> _xll.EPMOlapMemberO("[AM2MARKETDESCR].[].[GREECE]","","GREECE","","000")</f>
        <v>GREECE</v>
      </c>
      <c r="E571" s="2" t="str">
        <f xml:space="preserve"> _xll.EPMOlapMemberO("[AM2PARENTCUSTGROUP].[].[__NULL]","","(None)","","000")</f>
        <v>(None)</v>
      </c>
      <c r="F571" s="2" t="str">
        <f xml:space="preserve"> _xll.EPMOlapMemberO("[KEY_FIGURES].[].[CONFIRMEDPRODUCTION]","","Production Order","","000")</f>
        <v>Production Order</v>
      </c>
      <c r="AU571" s="2">
        <v>170</v>
      </c>
      <c r="AY571" s="2">
        <v>445</v>
      </c>
    </row>
    <row r="572" spans="1:52" x14ac:dyDescent="0.35">
      <c r="A572" s="2" t="str">
        <f xml:space="preserve"> _xll.EPMOlapMemberO("[LOCID].[].[Munich plant]","","Munich plant","","000")</f>
        <v>Munich plant</v>
      </c>
      <c r="B572" s="2" t="str">
        <f xml:space="preserve"> _xll.EPMOlapMemberO("[PRDID].[].[999-74464-0072]","","999-74464-0072","","000")</f>
        <v>999-74464-0072</v>
      </c>
      <c r="C572" s="2" t="str">
        <f xml:space="preserve"> _xll.EPMOlapMemberO("[BRAND].[].[ GAULOISES BLONDES]",""," GAULOISES BLONDES","","000")</f>
        <v xml:space="preserve"> GAULOISES BLONDES</v>
      </c>
      <c r="D572" s="2" t="str">
        <f xml:space="preserve"> _xll.EPMOlapMemberO("[AM2MARKETDESCR].[].[ITALY]","","ITALY","","000")</f>
        <v>ITALY</v>
      </c>
      <c r="E572" s="2" t="str">
        <f xml:space="preserve"> _xll.EPMOlapMemberO("[AM2PARENTCUSTGROUP].[].[__NULL]","","(None)","","000")</f>
        <v>(None)</v>
      </c>
      <c r="F572" s="2" t="str">
        <f xml:space="preserve"> _xll.EPMOlapMemberO("[KEY_FIGURES].[].[INITIALINVENTORY]","","Stock","","000")</f>
        <v>Stock</v>
      </c>
      <c r="AQ572" s="2">
        <v>302.39999999999998</v>
      </c>
    </row>
    <row r="573" spans="1:52" x14ac:dyDescent="0.35">
      <c r="A573" s="2" t="str">
        <f xml:space="preserve"> _xll.EPMOlapMemberO("[LOCID].[].[Munich plant]","","Munich plant","","000")</f>
        <v>Munich plant</v>
      </c>
      <c r="B573" s="2" t="str">
        <f xml:space="preserve"> _xll.EPMOlapMemberO("[PRDID].[].[999-74464-0072]","","999-74464-0072","","000")</f>
        <v>999-74464-0072</v>
      </c>
      <c r="C573" s="2" t="str">
        <f xml:space="preserve"> _xll.EPMOlapMemberO("[BRAND].[].[ GAULOISES BLONDES]",""," GAULOISES BLONDES","","000")</f>
        <v xml:space="preserve"> GAULOISES BLONDES</v>
      </c>
      <c r="D573" s="2" t="str">
        <f xml:space="preserve"> _xll.EPMOlapMemberO("[AM2MARKETDESCR].[].[ITALY]","","ITALY","","000")</f>
        <v>ITALY</v>
      </c>
      <c r="E573" s="2" t="str">
        <f xml:space="preserve"> _xll.EPMOlapMemberO("[AM2PARENTCUSTGROUP].[].[__NULL]","","(None)","","000")</f>
        <v>(None)</v>
      </c>
      <c r="F573" s="2" t="str">
        <f xml:space="preserve"> _xll.EPMOlapMemberO("[KEY_FIGURES].[].[CONFIRMEDPRODUCTION]","","Production Order","","000")</f>
        <v>Production Order</v>
      </c>
      <c r="AS573" s="2">
        <v>555.20000000000005</v>
      </c>
      <c r="AU573" s="2">
        <v>580</v>
      </c>
      <c r="AV573" s="2">
        <v>75</v>
      </c>
      <c r="AW573" s="2">
        <v>638</v>
      </c>
      <c r="AY573" s="2">
        <v>826.5</v>
      </c>
    </row>
    <row r="574" spans="1:52" x14ac:dyDescent="0.35">
      <c r="A574" s="2" t="str">
        <f xml:space="preserve"> _xll.EPMOlapMemberO("[LOCID].[].[Munich plant]","","Munich plant","","000")</f>
        <v>Munich plant</v>
      </c>
      <c r="B574" s="2" t="str">
        <f xml:space="preserve"> _xll.EPMOlapMemberO("[PRDID].[].[999-74464-0073]","","999-74464-0073","","000")</f>
        <v>999-74464-0073</v>
      </c>
      <c r="C574" s="2" t="str">
        <f xml:space="preserve"> _xll.EPMOlapMemberO("[BRAND].[].[ GAULOISES BLONDES]",""," GAULOISES BLONDES","","000")</f>
        <v xml:space="preserve"> GAULOISES BLONDES</v>
      </c>
      <c r="D574" s="2" t="str">
        <f xml:space="preserve"> _xll.EPMOlapMemberO("[AM2MARKETDESCR].[].[ITALY]","","ITALY","","000")</f>
        <v>ITALY</v>
      </c>
      <c r="E574" s="2" t="str">
        <f xml:space="preserve"> _xll.EPMOlapMemberO("[AM2PARENTCUSTGROUP].[].[__NULL]","","(None)","","000")</f>
        <v>(None)</v>
      </c>
      <c r="F574" s="2" t="str">
        <f xml:space="preserve"> _xll.EPMOlapMemberO("[KEY_FIGURES].[].[INITIALINVENTORY]","","Stock","","000")</f>
        <v>Stock</v>
      </c>
      <c r="AQ574" s="2">
        <v>1713.6</v>
      </c>
    </row>
    <row r="575" spans="1:52" x14ac:dyDescent="0.35">
      <c r="A575" s="2" t="str">
        <f xml:space="preserve"> _xll.EPMOlapMemberO("[LOCID].[].[Munich plant]","","Munich plant","","000")</f>
        <v>Munich plant</v>
      </c>
      <c r="B575" s="2" t="str">
        <f xml:space="preserve"> _xll.EPMOlapMemberO("[PRDID].[].[999-74464-0073]","","999-74464-0073","","000")</f>
        <v>999-74464-0073</v>
      </c>
      <c r="C575" s="2" t="str">
        <f xml:space="preserve"> _xll.EPMOlapMemberO("[BRAND].[].[ GAULOISES BLONDES]",""," GAULOISES BLONDES","","000")</f>
        <v xml:space="preserve"> GAULOISES BLONDES</v>
      </c>
      <c r="D575" s="2" t="str">
        <f xml:space="preserve"> _xll.EPMOlapMemberO("[AM2MARKETDESCR].[].[ITALY]","","ITALY","","000")</f>
        <v>ITALY</v>
      </c>
      <c r="E575" s="2" t="str">
        <f xml:space="preserve"> _xll.EPMOlapMemberO("[AM2PARENTCUSTGROUP].[].[__NULL]","","(None)","","000")</f>
        <v>(None)</v>
      </c>
      <c r="F575" s="2" t="str">
        <f xml:space="preserve"> _xll.EPMOlapMemberO("[KEY_FIGURES].[].[CONFIRMEDPRODUCTION]","","Production Order","","000")</f>
        <v>Production Order</v>
      </c>
      <c r="AT575" s="2">
        <v>1696.5</v>
      </c>
      <c r="AW575" s="2">
        <v>1754.5</v>
      </c>
      <c r="AZ575" s="2">
        <v>2276.5</v>
      </c>
    </row>
    <row r="576" spans="1:52" x14ac:dyDescent="0.35">
      <c r="A576" s="2" t="str">
        <f xml:space="preserve"> _xll.EPMOlapMemberO("[LOCID].[].[Munich plant]","","Munich plant","","000")</f>
        <v>Munich plant</v>
      </c>
      <c r="B576" s="2" t="str">
        <f xml:space="preserve"> _xll.EPMOlapMemberO("[PRDID].[].[999-74464-0074]","","999-74464-0074","","000")</f>
        <v>999-74464-0074</v>
      </c>
      <c r="C576" s="2" t="str">
        <f xml:space="preserve"> _xll.EPMOlapMemberO("[BRAND].[].[ GAULOISES BLONDES]",""," GAULOISES BLONDES","","000")</f>
        <v xml:space="preserve"> GAULOISES BLONDES</v>
      </c>
      <c r="D576" s="2" t="str">
        <f xml:space="preserve"> _xll.EPMOlapMemberO("[AM2MARKETDESCR].[].[GREECE]","","GREECE","","000")</f>
        <v>GREECE</v>
      </c>
      <c r="E576" s="2" t="str">
        <f xml:space="preserve"> _xll.EPMOlapMemberO("[AM2PARENTCUSTGROUP].[].[__NULL]","","(None)","","000")</f>
        <v>(None)</v>
      </c>
      <c r="F576" s="2" t="str">
        <f xml:space="preserve"> _xll.EPMOlapMemberO("[KEY_FIGURES].[].[CONFIRMEDPRODUCTION]","","Production Order","","000")</f>
        <v>Production Order</v>
      </c>
      <c r="AT576" s="2">
        <v>203</v>
      </c>
      <c r="AX576" s="2">
        <v>522</v>
      </c>
    </row>
    <row r="577" spans="1:52" x14ac:dyDescent="0.35">
      <c r="A577" s="2" t="str">
        <f xml:space="preserve"> _xll.EPMOlapMemberO("[LOCID].[].[Munich plant]","","Munich plant","","000")</f>
        <v>Munich plant</v>
      </c>
      <c r="B577" s="2" t="str">
        <f xml:space="preserve"> _xll.EPMOlapMemberO("[PRDID].[].[999-74464-0075]","","999-74464-0075","","000")</f>
        <v>999-74464-0075</v>
      </c>
      <c r="C577" s="2" t="str">
        <f xml:space="preserve"> _xll.EPMOlapMemberO("[BRAND].[].[ GAULOISES BLONDES]",""," GAULOISES BLONDES","","000")</f>
        <v xml:space="preserve"> GAULOISES BLONDES</v>
      </c>
      <c r="D577" s="2" t="str">
        <f xml:space="preserve"> _xll.EPMOlapMemberO("[AM2MARKETDESCR].[].[PORTUGAL]","","PORTUGAL","","000")</f>
        <v>PORTUGAL</v>
      </c>
      <c r="E577" s="2" t="str">
        <f xml:space="preserve"> _xll.EPMOlapMemberO("[AM2PARENTCUSTGROUP].[].[__NULL]","","(None)","","000")</f>
        <v>(None)</v>
      </c>
      <c r="F577" s="2" t="str">
        <f xml:space="preserve"> _xll.EPMOlapMemberO("[KEY_FIGURES].[].[CONFIRMEDPRODUCTION]","","Production Order","","000")</f>
        <v>Production Order</v>
      </c>
      <c r="AR577" s="2">
        <v>47.5</v>
      </c>
      <c r="AU577" s="2">
        <v>7.5</v>
      </c>
      <c r="AX577" s="2">
        <v>35</v>
      </c>
    </row>
    <row r="578" spans="1:52" x14ac:dyDescent="0.35">
      <c r="A578" s="2" t="str">
        <f xml:space="preserve"> _xll.EPMOlapMemberO("[LOCID].[].[Munich plant]","","Munich plant","","000")</f>
        <v>Munich plant</v>
      </c>
      <c r="B578" s="2" t="str">
        <f xml:space="preserve"> _xll.EPMOlapMemberO("[PRDID].[].[999-74464-0076]","","999-74464-0076","","000")</f>
        <v>999-74464-0076</v>
      </c>
      <c r="C578" s="2" t="str">
        <f xml:space="preserve"> _xll.EPMOlapMemberO("[BRAND].[].[ GAULOISES BLONDES]",""," GAULOISES BLONDES","","000")</f>
        <v xml:space="preserve"> GAULOISES BLONDES</v>
      </c>
      <c r="D578" s="2" t="str">
        <f xml:space="preserve"> _xll.EPMOlapMemberO("[AM2MARKETDESCR].[].[PORTUGAL]","","PORTUGAL","","000")</f>
        <v>PORTUGAL</v>
      </c>
      <c r="E578" s="2" t="str">
        <f xml:space="preserve"> _xll.EPMOlapMemberO("[AM2PARENTCUSTGROUP].[].[__NULL]","","(None)","","000")</f>
        <v>(None)</v>
      </c>
      <c r="F578" s="2" t="str">
        <f xml:space="preserve"> _xll.EPMOlapMemberO("[KEY_FIGURES].[].[CONFIRMEDPRODUCTION]","","Production Order","","000")</f>
        <v>Production Order</v>
      </c>
      <c r="AX578" s="2">
        <v>30</v>
      </c>
    </row>
    <row r="579" spans="1:52" x14ac:dyDescent="0.35">
      <c r="A579" s="2" t="str">
        <f xml:space="preserve"> _xll.EPMOlapMemberO("[LOCID].[].[Munich plant]","","Munich plant","","000")</f>
        <v>Munich plant</v>
      </c>
      <c r="B579" s="2" t="str">
        <f xml:space="preserve"> _xll.EPMOlapMemberO("[PRDID].[].[999-74464-0077]","","999-74464-0077","","000")</f>
        <v>999-74464-0077</v>
      </c>
      <c r="C579" s="2" t="str">
        <f xml:space="preserve"> _xll.EPMOlapMemberO("[BRAND].[].[ GAULOISES BLONDES]",""," GAULOISES BLONDES","","000")</f>
        <v xml:space="preserve"> GAULOISES BLONDES</v>
      </c>
      <c r="D579" s="2" t="str">
        <f xml:space="preserve"> _xll.EPMOlapMemberO("[AM2MARKETDESCR].[].[SPAIN]","","SPAIN","","000")</f>
        <v>SPAIN</v>
      </c>
      <c r="E579" s="2" t="str">
        <f xml:space="preserve"> _xll.EPMOlapMemberO("[AM2PARENTCUSTGROUP].[].[__NULL]","","(None)","","000")</f>
        <v>(None)</v>
      </c>
      <c r="F579" s="2" t="str">
        <f xml:space="preserve"> _xll.EPMOlapMemberO("[KEY_FIGURES].[].[CONFIRMEDPRODUCTION]","","Production Order","","000")</f>
        <v>Production Order</v>
      </c>
      <c r="AR579" s="2">
        <v>525</v>
      </c>
      <c r="AU579" s="2">
        <v>355</v>
      </c>
      <c r="AY579" s="2">
        <v>810</v>
      </c>
    </row>
    <row r="580" spans="1:52" x14ac:dyDescent="0.35">
      <c r="A580" s="2" t="str">
        <f xml:space="preserve"> _xll.EPMOlapMemberO("[LOCID].[].[Munich plant]","","Munich plant","","000")</f>
        <v>Munich plant</v>
      </c>
      <c r="B580" s="2" t="str">
        <f xml:space="preserve"> _xll.EPMOlapMemberO("[PRDID].[].[999-74464-0078]","","999-74464-0078","","000")</f>
        <v>999-74464-0078</v>
      </c>
      <c r="C580" s="2" t="str">
        <f xml:space="preserve"> _xll.EPMOlapMemberO("[BRAND].[].[ GAULOISES BLONDES]",""," GAULOISES BLONDES","","000")</f>
        <v xml:space="preserve"> GAULOISES BLONDES</v>
      </c>
      <c r="D580" s="2" t="str">
        <f xml:space="preserve"> _xll.EPMOlapMemberO("[AM2MARKETDESCR].[].[SPAIN]","","SPAIN","","000")</f>
        <v>SPAIN</v>
      </c>
      <c r="E580" s="2" t="str">
        <f xml:space="preserve"> _xll.EPMOlapMemberO("[AM2PARENTCUSTGROUP].[].[__NULL]","","(None)","","000")</f>
        <v>(None)</v>
      </c>
      <c r="F580" s="2" t="str">
        <f xml:space="preserve"> _xll.EPMOlapMemberO("[KEY_FIGURES].[].[INITIALINVENTORY]","","Stock","","000")</f>
        <v>Stock</v>
      </c>
      <c r="AQ580" s="2">
        <v>420</v>
      </c>
    </row>
    <row r="581" spans="1:52" x14ac:dyDescent="0.35">
      <c r="A581" s="2" t="str">
        <f xml:space="preserve"> _xll.EPMOlapMemberO("[LOCID].[].[Munich plant]","","Munich plant","","000")</f>
        <v>Munich plant</v>
      </c>
      <c r="B581" s="2" t="str">
        <f xml:space="preserve"> _xll.EPMOlapMemberO("[PRDID].[].[999-74464-0078]","","999-74464-0078","","000")</f>
        <v>999-74464-0078</v>
      </c>
      <c r="C581" s="2" t="str">
        <f xml:space="preserve"> _xll.EPMOlapMemberO("[BRAND].[].[ GAULOISES BLONDES]",""," GAULOISES BLONDES","","000")</f>
        <v xml:space="preserve"> GAULOISES BLONDES</v>
      </c>
      <c r="D581" s="2" t="str">
        <f xml:space="preserve"> _xll.EPMOlapMemberO("[AM2MARKETDESCR].[].[SPAIN]","","SPAIN","","000")</f>
        <v>SPAIN</v>
      </c>
      <c r="E581" s="2" t="str">
        <f xml:space="preserve"> _xll.EPMOlapMemberO("[AM2PARENTCUSTGROUP].[].[__NULL]","","(None)","","000")</f>
        <v>(None)</v>
      </c>
      <c r="F581" s="2" t="str">
        <f xml:space="preserve"> _xll.EPMOlapMemberO("[KEY_FIGURES].[].[CONFIRMEDPRODUCTION]","","Production Order","","000")</f>
        <v>Production Order</v>
      </c>
      <c r="AR581" s="2">
        <v>100.8</v>
      </c>
      <c r="AU581" s="2">
        <v>300</v>
      </c>
      <c r="AV581" s="2">
        <v>125</v>
      </c>
      <c r="AX581" s="2">
        <v>765</v>
      </c>
      <c r="AY581" s="2">
        <v>80</v>
      </c>
    </row>
    <row r="582" spans="1:52" x14ac:dyDescent="0.35">
      <c r="A582" s="2" t="str">
        <f xml:space="preserve"> _xll.EPMOlapMemberO("[LOCID].[].[Munich plant]","","Munich plant","","000")</f>
        <v>Munich plant</v>
      </c>
      <c r="B582" s="2" t="str">
        <f xml:space="preserve"> _xll.EPMOlapMemberO("[PRDID].[].[999-74464-0079]","","999-74464-0079","","000")</f>
        <v>999-74464-0079</v>
      </c>
      <c r="C582" s="2" t="str">
        <f xml:space="preserve"> _xll.EPMOlapMemberO("[BRAND].[].[ GAULOISES BLONDES]",""," GAULOISES BLONDES","","000")</f>
        <v xml:space="preserve"> GAULOISES BLONDES</v>
      </c>
      <c r="D582" s="2" t="str">
        <f xml:space="preserve"> _xll.EPMOlapMemberO("[AM2MARKETDESCR].[].[CROATIA]","","CROATIA","","000")</f>
        <v>CROATIA</v>
      </c>
      <c r="E582" s="2" t="str">
        <f xml:space="preserve"> _xll.EPMOlapMemberO("[AM2PARENTCUSTGROUP].[].[__NULL]","","(None)","","000")</f>
        <v>(None)</v>
      </c>
      <c r="F582" s="2" t="str">
        <f xml:space="preserve"> _xll.EPMOlapMemberO("[KEY_FIGURES].[].[INITIALINVENTORY]","","Stock","","000")</f>
        <v>Stock</v>
      </c>
      <c r="AQ582" s="2">
        <v>100.8</v>
      </c>
    </row>
    <row r="583" spans="1:52" x14ac:dyDescent="0.35">
      <c r="A583" s="2" t="str">
        <f xml:space="preserve"> _xll.EPMOlapMemberO("[LOCID].[].[Munich plant]","","Munich plant","","000")</f>
        <v>Munich plant</v>
      </c>
      <c r="B583" s="2" t="str">
        <f xml:space="preserve"> _xll.EPMOlapMemberO("[PRDID].[].[999-74464-0079]","","999-74464-0079","","000")</f>
        <v>999-74464-0079</v>
      </c>
      <c r="C583" s="2" t="str">
        <f xml:space="preserve"> _xll.EPMOlapMemberO("[BRAND].[].[ GAULOISES BLONDES]",""," GAULOISES BLONDES","","000")</f>
        <v xml:space="preserve"> GAULOISES BLONDES</v>
      </c>
      <c r="D583" s="2" t="str">
        <f xml:space="preserve"> _xll.EPMOlapMemberO("[AM2MARKETDESCR].[].[CROATIA]","","CROATIA","","000")</f>
        <v>CROATIA</v>
      </c>
      <c r="E583" s="2" t="str">
        <f xml:space="preserve"> _xll.EPMOlapMemberO("[AM2PARENTCUSTGROUP].[].[__NULL]","","(None)","","000")</f>
        <v>(None)</v>
      </c>
      <c r="F583" s="2" t="str">
        <f xml:space="preserve"> _xll.EPMOlapMemberO("[KEY_FIGURES].[].[CONFIRMEDPRODUCTION]","","Production Order","","000")</f>
        <v>Production Order</v>
      </c>
      <c r="AR583" s="2">
        <v>361.6</v>
      </c>
      <c r="AS583" s="2">
        <v>160</v>
      </c>
      <c r="AZ583" s="2">
        <v>160</v>
      </c>
    </row>
    <row r="584" spans="1:52" x14ac:dyDescent="0.35">
      <c r="A584" s="2" t="str">
        <f xml:space="preserve"> _xll.EPMOlapMemberO("[LOCID].[].[Munich plant]","","Munich plant","","000")</f>
        <v>Munich plant</v>
      </c>
      <c r="B584" s="2" t="str">
        <f xml:space="preserve"> _xll.EPMOlapMemberO("[PRDID].[].[999-74464-0081]","","999-74464-0081","","000")</f>
        <v>999-74464-0081</v>
      </c>
      <c r="C584" s="2" t="str">
        <f xml:space="preserve"> _xll.EPMOlapMemberO("[BRAND].[].[ GAULOISES BLONDES]",""," GAULOISES BLONDES","","000")</f>
        <v xml:space="preserve"> GAULOISES BLONDES</v>
      </c>
      <c r="D584" s="2" t="str">
        <f xml:space="preserve"> _xll.EPMOlapMemberO("[AM2MARKETDESCR].[].[AUSTRIA]","","AUSTRIA","","000")</f>
        <v>AUSTRIA</v>
      </c>
      <c r="E584" s="2" t="str">
        <f xml:space="preserve"> _xll.EPMOlapMemberO("[AM2PARENTCUSTGROUP].[].[__NULL]","","(None)","","000")</f>
        <v>(None)</v>
      </c>
      <c r="F584" s="2" t="str">
        <f xml:space="preserve"> _xll.EPMOlapMemberO("[KEY_FIGURES].[].[CONFIRMEDPRODUCTION]","","Production Order","","000")</f>
        <v>Production Order</v>
      </c>
      <c r="AS584" s="2">
        <v>1092.5</v>
      </c>
      <c r="AW584" s="2">
        <v>565</v>
      </c>
    </row>
    <row r="585" spans="1:52" x14ac:dyDescent="0.35">
      <c r="A585" s="2" t="str">
        <f xml:space="preserve"> _xll.EPMOlapMemberO("[LOCID].[].[Munich plant]","","Munich plant","","000")</f>
        <v>Munich plant</v>
      </c>
      <c r="B585" s="2" t="str">
        <f xml:space="preserve"> _xll.EPMOlapMemberO("[PRDID].[].[999-74502-0053]","","999-74502-0053","","000")</f>
        <v>999-74502-0053</v>
      </c>
      <c r="C585" s="2" t="str">
        <f xml:space="preserve"> _xll.EPMOlapMemberO("[BRAND].[].[ P&amp;S]",""," P&amp;S","","000")</f>
        <v xml:space="preserve"> P&amp;S</v>
      </c>
      <c r="D585" s="2" t="str">
        <f xml:space="preserve"> _xll.EPMOlapMemberO("[AM2MARKETDESCR].[].[POLAND]","","POLAND","","000")</f>
        <v>POLAND</v>
      </c>
      <c r="E585" s="2" t="str">
        <f xml:space="preserve"> _xll.EPMOlapMemberO("[AM2PARENTCUSTGROUP].[].[__NULL]","","(None)","","000")</f>
        <v>(None)</v>
      </c>
      <c r="F585" s="2" t="str">
        <f xml:space="preserve"> _xll.EPMOlapMemberO("[KEY_FIGURES].[].[CONFIRMEDPRODUCTION]","","Production Order","","000")</f>
        <v>Production Order</v>
      </c>
      <c r="AS585" s="2">
        <v>122.727</v>
      </c>
      <c r="AV585" s="2">
        <v>36.817999999999998</v>
      </c>
      <c r="AY585" s="2">
        <v>1890</v>
      </c>
    </row>
    <row r="586" spans="1:52" x14ac:dyDescent="0.35">
      <c r="A586" s="2" t="str">
        <f xml:space="preserve"> _xll.EPMOlapMemberO("[LOCID].[].[Munich plant]","","Munich plant","","000")</f>
        <v>Munich plant</v>
      </c>
      <c r="B586" s="2" t="str">
        <f xml:space="preserve"> _xll.EPMOlapMemberO("[PRDID].[].[999-74502-0054]","","999-74502-0054","","000")</f>
        <v>999-74502-0054</v>
      </c>
      <c r="C586" s="2" t="str">
        <f xml:space="preserve"> _xll.EPMOlapMemberO("[BRAND].[].[ P&amp;S]",""," P&amp;S","","000")</f>
        <v xml:space="preserve"> P&amp;S</v>
      </c>
      <c r="D586" s="2" t="str">
        <f xml:space="preserve"> _xll.EPMOlapMemberO("[AM2MARKETDESCR].[].[POLAND]","","POLAND","","000")</f>
        <v>POLAND</v>
      </c>
      <c r="E586" s="2" t="str">
        <f xml:space="preserve"> _xll.EPMOlapMemberO("[AM2PARENTCUSTGROUP].[].[__NULL]","","(None)","","000")</f>
        <v>(None)</v>
      </c>
      <c r="F586" s="2" t="str">
        <f xml:space="preserve"> _xll.EPMOlapMemberO("[KEY_FIGURES].[].[INITIALINVENTORY]","","Stock","","000")</f>
        <v>Stock</v>
      </c>
      <c r="AQ586" s="2">
        <v>1680</v>
      </c>
    </row>
    <row r="587" spans="1:52" x14ac:dyDescent="0.35">
      <c r="A587" s="2" t="str">
        <f xml:space="preserve"> _xll.EPMOlapMemberO("[LOCID].[].[Munich plant]","","Munich plant","","000")</f>
        <v>Munich plant</v>
      </c>
      <c r="B587" s="2" t="str">
        <f xml:space="preserve"> _xll.EPMOlapMemberO("[PRDID].[].[999-74502-0054]","","999-74502-0054","","000")</f>
        <v>999-74502-0054</v>
      </c>
      <c r="C587" s="2" t="str">
        <f xml:space="preserve"> _xll.EPMOlapMemberO("[BRAND].[].[ P&amp;S]",""," P&amp;S","","000")</f>
        <v xml:space="preserve"> P&amp;S</v>
      </c>
      <c r="D587" s="2" t="str">
        <f xml:space="preserve"> _xll.EPMOlapMemberO("[AM2MARKETDESCR].[].[POLAND]","","POLAND","","000")</f>
        <v>POLAND</v>
      </c>
      <c r="E587" s="2" t="str">
        <f xml:space="preserve"> _xll.EPMOlapMemberO("[AM2PARENTCUSTGROUP].[].[__NULL]","","(None)","","000")</f>
        <v>(None)</v>
      </c>
      <c r="F587" s="2" t="str">
        <f xml:space="preserve"> _xll.EPMOlapMemberO("[KEY_FIGURES].[].[CONFIRMEDPRODUCTION]","","Production Order","","000")</f>
        <v>Production Order</v>
      </c>
      <c r="AT587" s="2">
        <v>1595.454</v>
      </c>
    </row>
    <row r="588" spans="1:52" x14ac:dyDescent="0.35">
      <c r="A588" s="2" t="str">
        <f xml:space="preserve"> _xll.EPMOlapMemberO("[LOCID].[].[Munich plant]","","Munich plant","","000")</f>
        <v>Munich plant</v>
      </c>
      <c r="B588" s="2" t="str">
        <f xml:space="preserve"> _xll.EPMOlapMemberO("[PRDID].[].[999-74502-0055]","","999-74502-0055","","000")</f>
        <v>999-74502-0055</v>
      </c>
      <c r="C588" s="2" t="str">
        <f xml:space="preserve"> _xll.EPMOlapMemberO("[BRAND].[].[ P&amp;S]",""," P&amp;S","","000")</f>
        <v xml:space="preserve"> P&amp;S</v>
      </c>
      <c r="D588" s="2" t="str">
        <f xml:space="preserve"> _xll.EPMOlapMemberO("[AM2MARKETDESCR].[].[POLAND]","","POLAND","","000")</f>
        <v>POLAND</v>
      </c>
      <c r="E588" s="2" t="str">
        <f xml:space="preserve"> _xll.EPMOlapMemberO("[AM2PARENTCUSTGROUP].[].[__NULL]","","(None)","","000")</f>
        <v>(None)</v>
      </c>
      <c r="F588" s="2" t="str">
        <f xml:space="preserve"> _xll.EPMOlapMemberO("[KEY_FIGURES].[].[CONFIRMEDPRODUCTION]","","Production Order","","000")</f>
        <v>Production Order</v>
      </c>
      <c r="AT588" s="2">
        <v>171.81800000000001</v>
      </c>
      <c r="AV588" s="2">
        <v>3270.6819999999998</v>
      </c>
      <c r="AY588" s="2">
        <v>2589.5450000000001</v>
      </c>
    </row>
    <row r="589" spans="1:52" x14ac:dyDescent="0.35">
      <c r="A589" s="2" t="str">
        <f xml:space="preserve"> _xll.EPMOlapMemberO("[LOCID].[].[Munich plant]","","Munich plant","","000")</f>
        <v>Munich plant</v>
      </c>
      <c r="B589" s="2" t="str">
        <f xml:space="preserve"> _xll.EPMOlapMemberO("[PRDID].[].[999-74502-0056]","","999-74502-0056","","000")</f>
        <v>999-74502-0056</v>
      </c>
      <c r="C589" s="2" t="str">
        <f xml:space="preserve"> _xll.EPMOlapMemberO("[BRAND].[].[ P&amp;S]",""," P&amp;S","","000")</f>
        <v xml:space="preserve"> P&amp;S</v>
      </c>
      <c r="D589" s="2" t="str">
        <f xml:space="preserve"> _xll.EPMOlapMemberO("[AM2MARKETDESCR].[].[POLAND]","","POLAND","","000")</f>
        <v>POLAND</v>
      </c>
      <c r="E589" s="2" t="str">
        <f xml:space="preserve"> _xll.EPMOlapMemberO("[AM2PARENTCUSTGROUP].[].[__NULL]","","(None)","","000")</f>
        <v>(None)</v>
      </c>
      <c r="F589" s="2" t="str">
        <f xml:space="preserve"> _xll.EPMOlapMemberO("[KEY_FIGURES].[].[INITIALINVENTORY]","","Stock","","000")</f>
        <v>Stock</v>
      </c>
      <c r="AQ589" s="2">
        <v>2604</v>
      </c>
    </row>
    <row r="590" spans="1:52" x14ac:dyDescent="0.35">
      <c r="A590" s="2" t="str">
        <f xml:space="preserve"> _xll.EPMOlapMemberO("[LOCID].[].[Munich plant]","","Munich plant","","000")</f>
        <v>Munich plant</v>
      </c>
      <c r="B590" s="2" t="str">
        <f xml:space="preserve"> _xll.EPMOlapMemberO("[PRDID].[].[999-74502-0056]","","999-74502-0056","","000")</f>
        <v>999-74502-0056</v>
      </c>
      <c r="C590" s="2" t="str">
        <f xml:space="preserve"> _xll.EPMOlapMemberO("[BRAND].[].[ P&amp;S]",""," P&amp;S","","000")</f>
        <v xml:space="preserve"> P&amp;S</v>
      </c>
      <c r="D590" s="2" t="str">
        <f xml:space="preserve"> _xll.EPMOlapMemberO("[AM2MARKETDESCR].[].[POLAND]","","POLAND","","000")</f>
        <v>POLAND</v>
      </c>
      <c r="E590" s="2" t="str">
        <f xml:space="preserve"> _xll.EPMOlapMemberO("[AM2PARENTCUSTGROUP].[].[__NULL]","","(None)","","000")</f>
        <v>(None)</v>
      </c>
      <c r="F590" s="2" t="str">
        <f xml:space="preserve"> _xll.EPMOlapMemberO("[KEY_FIGURES].[].[CONFIRMEDPRODUCTION]","","Production Order","","000")</f>
        <v>Production Order</v>
      </c>
      <c r="AU590" s="2">
        <v>1374.5450000000001</v>
      </c>
    </row>
    <row r="591" spans="1:52" x14ac:dyDescent="0.35">
      <c r="A591" s="2" t="str">
        <f xml:space="preserve"> _xll.EPMOlapMemberO("[LOCID].[].[Munich plant]","","Munich plant","","000")</f>
        <v>Munich plant</v>
      </c>
      <c r="B591" s="2" t="str">
        <f xml:space="preserve"> _xll.EPMOlapMemberO("[PRDID].[].[999-74502-0060]","","999-74502-0060","","000")</f>
        <v>999-74502-0060</v>
      </c>
      <c r="C591" s="2" t="str">
        <f xml:space="preserve"> _xll.EPMOlapMemberO("[BRAND].[].[ P&amp;S]",""," P&amp;S","","000")</f>
        <v xml:space="preserve"> P&amp;S</v>
      </c>
      <c r="D591" s="2" t="str">
        <f xml:space="preserve"> _xll.EPMOlapMemberO("[AM2MARKETDESCR].[].[CZECH REPUBLIC]","","CZECH REPUBLIC","","000")</f>
        <v>CZECH REPUBLIC</v>
      </c>
      <c r="E591" s="2" t="str">
        <f xml:space="preserve"> _xll.EPMOlapMemberO("[AM2PARENTCUSTGROUP].[].[__NULL]","","(None)","","000")</f>
        <v>(None)</v>
      </c>
      <c r="F591" s="2" t="str">
        <f xml:space="preserve"> _xll.EPMOlapMemberO("[KEY_FIGURES].[].[INITIALINVENTORY]","","Stock","","000")</f>
        <v>Stock</v>
      </c>
      <c r="AQ591" s="2">
        <v>84</v>
      </c>
    </row>
    <row r="592" spans="1:52" x14ac:dyDescent="0.35">
      <c r="A592" s="2" t="str">
        <f xml:space="preserve"> _xll.EPMOlapMemberO("[LOCID].[].[Munich plant]","","Munich plant","","000")</f>
        <v>Munich plant</v>
      </c>
      <c r="B592" s="2" t="str">
        <f xml:space="preserve"> _xll.EPMOlapMemberO("[PRDID].[].[999-74502-0060]","","999-74502-0060","","000")</f>
        <v>999-74502-0060</v>
      </c>
      <c r="C592" s="2" t="str">
        <f xml:space="preserve"> _xll.EPMOlapMemberO("[BRAND].[].[ P&amp;S]",""," P&amp;S","","000")</f>
        <v xml:space="preserve"> P&amp;S</v>
      </c>
      <c r="D592" s="2" t="str">
        <f xml:space="preserve"> _xll.EPMOlapMemberO("[AM2MARKETDESCR].[].[CZECH REPUBLIC]","","CZECH REPUBLIC","","000")</f>
        <v>CZECH REPUBLIC</v>
      </c>
      <c r="E592" s="2" t="str">
        <f xml:space="preserve"> _xll.EPMOlapMemberO("[AM2PARENTCUSTGROUP].[].[__NULL]","","(None)","","000")</f>
        <v>(None)</v>
      </c>
      <c r="F592" s="2" t="str">
        <f xml:space="preserve"> _xll.EPMOlapMemberO("[KEY_FIGURES].[].[CONFIRMEDPRODUCTION]","","Production Order","","000")</f>
        <v>Production Order</v>
      </c>
      <c r="AV592" s="2">
        <v>21.6</v>
      </c>
    </row>
    <row r="593" spans="1:52" x14ac:dyDescent="0.35">
      <c r="A593" s="2" t="str">
        <f xml:space="preserve"> _xll.EPMOlapMemberO("[LOCID].[].[Munich plant]","","Munich plant","","000")</f>
        <v>Munich plant</v>
      </c>
      <c r="B593" s="2" t="str">
        <f xml:space="preserve"> _xll.EPMOlapMemberO("[PRDID].[].[999-74502-0061]","","999-74502-0061","","000")</f>
        <v>999-74502-0061</v>
      </c>
      <c r="C593" s="2" t="str">
        <f xml:space="preserve"> _xll.EPMOlapMemberO("[BRAND].[].[ P&amp;S]",""," P&amp;S","","000")</f>
        <v xml:space="preserve"> P&amp;S</v>
      </c>
      <c r="D593" s="2" t="str">
        <f xml:space="preserve"> _xll.EPMOlapMemberO("[AM2MARKETDESCR].[].[CZECH REPUBLIC]","","CZECH REPUBLIC","","000")</f>
        <v>CZECH REPUBLIC</v>
      </c>
      <c r="E593" s="2" t="str">
        <f xml:space="preserve"> _xll.EPMOlapMemberO("[AM2PARENTCUSTGROUP].[].[__NULL]","","(None)","","000")</f>
        <v>(None)</v>
      </c>
      <c r="F593" s="2" t="str">
        <f xml:space="preserve"> _xll.EPMOlapMemberO("[KEY_FIGURES].[].[INITIALINVENTORY]","","Stock","","000")</f>
        <v>Stock</v>
      </c>
      <c r="AQ593" s="2">
        <v>84</v>
      </c>
    </row>
    <row r="594" spans="1:52" x14ac:dyDescent="0.35">
      <c r="A594" s="2" t="str">
        <f xml:space="preserve"> _xll.EPMOlapMemberO("[LOCID].[].[Munich plant]","","Munich plant","","000")</f>
        <v>Munich plant</v>
      </c>
      <c r="B594" s="2" t="str">
        <f xml:space="preserve"> _xll.EPMOlapMemberO("[PRDID].[].[999-74502-0061]","","999-74502-0061","","000")</f>
        <v>999-74502-0061</v>
      </c>
      <c r="C594" s="2" t="str">
        <f xml:space="preserve"> _xll.EPMOlapMemberO("[BRAND].[].[ P&amp;S]",""," P&amp;S","","000")</f>
        <v xml:space="preserve"> P&amp;S</v>
      </c>
      <c r="D594" s="2" t="str">
        <f xml:space="preserve"> _xll.EPMOlapMemberO("[AM2MARKETDESCR].[].[CZECH REPUBLIC]","","CZECH REPUBLIC","","000")</f>
        <v>CZECH REPUBLIC</v>
      </c>
      <c r="E594" s="2" t="str">
        <f xml:space="preserve"> _xll.EPMOlapMemberO("[AM2PARENTCUSTGROUP].[].[__NULL]","","(None)","","000")</f>
        <v>(None)</v>
      </c>
      <c r="F594" s="2" t="str">
        <f xml:space="preserve"> _xll.EPMOlapMemberO("[KEY_FIGURES].[].[CONFIRMEDPRODUCTION]","","Production Order","","000")</f>
        <v>Production Order</v>
      </c>
      <c r="AZ594" s="2">
        <v>64.8</v>
      </c>
    </row>
    <row r="595" spans="1:52" x14ac:dyDescent="0.35">
      <c r="A595" s="2" t="str">
        <f xml:space="preserve"> _xll.EPMOlapMemberO("[LOCID].[].[Munich plant]","","Munich plant","","000")</f>
        <v>Munich plant</v>
      </c>
      <c r="B595" s="2" t="str">
        <f xml:space="preserve"> _xll.EPMOlapMemberO("[PRDID].[].[999-74502-0062]","","999-74502-0062","","000")</f>
        <v>999-74502-0062</v>
      </c>
      <c r="C595" s="2" t="str">
        <f xml:space="preserve"> _xll.EPMOlapMemberO("[BRAND].[].[ P&amp;S]",""," P&amp;S","","000")</f>
        <v xml:space="preserve"> P&amp;S</v>
      </c>
      <c r="D595" s="2" t="str">
        <f xml:space="preserve"> _xll.EPMOlapMemberO("[AM2MARKETDESCR].[].[CZECH REPUBLIC]","","CZECH REPUBLIC","","000")</f>
        <v>CZECH REPUBLIC</v>
      </c>
      <c r="E595" s="2" t="str">
        <f xml:space="preserve"> _xll.EPMOlapMemberO("[AM2PARENTCUSTGROUP].[].[__NULL]","","(None)","","000")</f>
        <v>(None)</v>
      </c>
      <c r="F595" s="2" t="str">
        <f xml:space="preserve"> _xll.EPMOlapMemberO("[KEY_FIGURES].[].[INITIALINVENTORY]","","Stock","","000")</f>
        <v>Stock</v>
      </c>
      <c r="AQ595" s="2">
        <v>168</v>
      </c>
    </row>
    <row r="596" spans="1:52" x14ac:dyDescent="0.35">
      <c r="A596" s="2" t="str">
        <f xml:space="preserve"> _xll.EPMOlapMemberO("[LOCID].[].[Munich plant]","","Munich plant","","000")</f>
        <v>Munich plant</v>
      </c>
      <c r="B596" s="2" t="str">
        <f xml:space="preserve"> _xll.EPMOlapMemberO("[PRDID].[].[999-74502-0062]","","999-74502-0062","","000")</f>
        <v>999-74502-0062</v>
      </c>
      <c r="C596" s="2" t="str">
        <f xml:space="preserve"> _xll.EPMOlapMemberO("[BRAND].[].[ P&amp;S]",""," P&amp;S","","000")</f>
        <v xml:space="preserve"> P&amp;S</v>
      </c>
      <c r="D596" s="2" t="str">
        <f xml:space="preserve"> _xll.EPMOlapMemberO("[AM2MARKETDESCR].[].[CZECH REPUBLIC]","","CZECH REPUBLIC","","000")</f>
        <v>CZECH REPUBLIC</v>
      </c>
      <c r="E596" s="2" t="str">
        <f xml:space="preserve"> _xll.EPMOlapMemberO("[AM2PARENTCUSTGROUP].[].[__NULL]","","(None)","","000")</f>
        <v>(None)</v>
      </c>
      <c r="F596" s="2" t="str">
        <f xml:space="preserve"> _xll.EPMOlapMemberO("[KEY_FIGURES].[].[CONFIRMEDPRODUCTION]","","Production Order","","000")</f>
        <v>Production Order</v>
      </c>
      <c r="AS596" s="2">
        <v>61.363999999999997</v>
      </c>
      <c r="AV596" s="2">
        <v>85.909000000000006</v>
      </c>
      <c r="AY596" s="2">
        <v>220.90899999999999</v>
      </c>
    </row>
    <row r="597" spans="1:52" x14ac:dyDescent="0.35">
      <c r="A597" s="2" t="str">
        <f xml:space="preserve"> _xll.EPMOlapMemberO("[LOCID].[].[Munich plant]","","Munich plant","","000")</f>
        <v>Munich plant</v>
      </c>
      <c r="B597" s="2" t="str">
        <f xml:space="preserve"> _xll.EPMOlapMemberO("[PRDID].[].[999-74502-0063]","","999-74502-0063","","000")</f>
        <v>999-74502-0063</v>
      </c>
      <c r="C597" s="2" t="str">
        <f xml:space="preserve"> _xll.EPMOlapMemberO("[BRAND].[].[ P&amp;S]",""," P&amp;S","","000")</f>
        <v xml:space="preserve"> P&amp;S</v>
      </c>
      <c r="D597" s="2" t="str">
        <f xml:space="preserve"> _xll.EPMOlapMemberO("[AM2MARKETDESCR].[].[CZECH REPUBLIC]","","CZECH REPUBLIC","","000")</f>
        <v>CZECH REPUBLIC</v>
      </c>
      <c r="E597" s="2" t="str">
        <f xml:space="preserve"> _xll.EPMOlapMemberO("[AM2PARENTCUSTGROUP].[].[__NULL]","","(None)","","000")</f>
        <v>(None)</v>
      </c>
      <c r="F597" s="2" t="str">
        <f xml:space="preserve"> _xll.EPMOlapMemberO("[KEY_FIGURES].[].[INITIALINVENTORY]","","Stock","","000")</f>
        <v>Stock</v>
      </c>
      <c r="AQ597" s="2">
        <v>252</v>
      </c>
    </row>
    <row r="598" spans="1:52" x14ac:dyDescent="0.35">
      <c r="A598" s="2" t="str">
        <f xml:space="preserve"> _xll.EPMOlapMemberO("[LOCID].[].[Munich plant]","","Munich plant","","000")</f>
        <v>Munich plant</v>
      </c>
      <c r="B598" s="2" t="str">
        <f xml:space="preserve"> _xll.EPMOlapMemberO("[PRDID].[].[999-74502-0063]","","999-74502-0063","","000")</f>
        <v>999-74502-0063</v>
      </c>
      <c r="C598" s="2" t="str">
        <f xml:space="preserve"> _xll.EPMOlapMemberO("[BRAND].[].[ P&amp;S]",""," P&amp;S","","000")</f>
        <v xml:space="preserve"> P&amp;S</v>
      </c>
      <c r="D598" s="2" t="str">
        <f xml:space="preserve"> _xll.EPMOlapMemberO("[AM2MARKETDESCR].[].[CZECH REPUBLIC]","","CZECH REPUBLIC","","000")</f>
        <v>CZECH REPUBLIC</v>
      </c>
      <c r="E598" s="2" t="str">
        <f xml:space="preserve"> _xll.EPMOlapMemberO("[AM2PARENTCUSTGROUP].[].[__NULL]","","(None)","","000")</f>
        <v>(None)</v>
      </c>
      <c r="F598" s="2" t="str">
        <f xml:space="preserve"> _xll.EPMOlapMemberO("[KEY_FIGURES].[].[CONFIRMEDPRODUCTION]","","Production Order","","000")</f>
        <v>Production Order</v>
      </c>
      <c r="AT598" s="2">
        <v>122.727</v>
      </c>
      <c r="AV598" s="2">
        <v>196.364</v>
      </c>
      <c r="AX598" s="2">
        <v>245.45500000000001</v>
      </c>
    </row>
    <row r="599" spans="1:52" x14ac:dyDescent="0.35">
      <c r="A599" s="2" t="str">
        <f xml:space="preserve"> _xll.EPMOlapMemberO("[LOCID].[].[Munich plant]","","Munich plant","","000")</f>
        <v>Munich plant</v>
      </c>
      <c r="B599" s="2" t="str">
        <f xml:space="preserve"> _xll.EPMOlapMemberO("[PRDID].[].[999-74503-0047]","","999-74503-0047","","000")</f>
        <v>999-74503-0047</v>
      </c>
      <c r="C599" s="2" t="str">
        <f xml:space="preserve"> _xll.EPMOlapMemberO("[BRAND].[].[ P&amp;S]",""," P&amp;S","","000")</f>
        <v xml:space="preserve"> P&amp;S</v>
      </c>
      <c r="D599" s="2" t="str">
        <f xml:space="preserve"> _xll.EPMOlapMemberO("[AM2MARKETDESCR].[].[CZECH REPUBLIC]","","CZECH REPUBLIC","","000")</f>
        <v>CZECH REPUBLIC</v>
      </c>
      <c r="E599" s="2" t="str">
        <f xml:space="preserve"> _xll.EPMOlapMemberO("[AM2PARENTCUSTGROUP].[].[__NULL]","","(None)","","000")</f>
        <v>(None)</v>
      </c>
      <c r="F599" s="2" t="str">
        <f xml:space="preserve"> _xll.EPMOlapMemberO("[KEY_FIGURES].[].[INITIALINVENTORY]","","Stock","","000")</f>
        <v>Stock</v>
      </c>
      <c r="AQ599" s="2">
        <v>105</v>
      </c>
    </row>
    <row r="600" spans="1:52" x14ac:dyDescent="0.35">
      <c r="A600" s="2" t="str">
        <f xml:space="preserve"> _xll.EPMOlapMemberO("[LOCID].[].[Munich plant]","","Munich plant","","000")</f>
        <v>Munich plant</v>
      </c>
      <c r="B600" s="2" t="str">
        <f xml:space="preserve"> _xll.EPMOlapMemberO("[PRDID].[].[999-74503-0047]","","999-74503-0047","","000")</f>
        <v>999-74503-0047</v>
      </c>
      <c r="C600" s="2" t="str">
        <f xml:space="preserve"> _xll.EPMOlapMemberO("[BRAND].[].[ P&amp;S]",""," P&amp;S","","000")</f>
        <v xml:space="preserve"> P&amp;S</v>
      </c>
      <c r="D600" s="2" t="str">
        <f xml:space="preserve"> _xll.EPMOlapMemberO("[AM2MARKETDESCR].[].[CZECH REPUBLIC]","","CZECH REPUBLIC","","000")</f>
        <v>CZECH REPUBLIC</v>
      </c>
      <c r="E600" s="2" t="str">
        <f xml:space="preserve"> _xll.EPMOlapMemberO("[AM2PARENTCUSTGROUP].[].[__NULL]","","(None)","","000")</f>
        <v>(None)</v>
      </c>
      <c r="F600" s="2" t="str">
        <f xml:space="preserve"> _xll.EPMOlapMemberO("[KEY_FIGURES].[].[CONFIRMEDPRODUCTION]","","Production Order","","000")</f>
        <v>Production Order</v>
      </c>
      <c r="AU600" s="2">
        <v>80</v>
      </c>
      <c r="AY600" s="2">
        <v>90</v>
      </c>
    </row>
    <row r="601" spans="1:52" x14ac:dyDescent="0.35">
      <c r="A601" s="2" t="str">
        <f xml:space="preserve"> _xll.EPMOlapMemberO("[LOCID].[].[Munich plant]","","Munich plant","","000")</f>
        <v>Munich plant</v>
      </c>
      <c r="B601" s="2" t="str">
        <f xml:space="preserve"> _xll.EPMOlapMemberO("[PRDID].[].[999-74503-0048]","","999-74503-0048","","000")</f>
        <v>999-74503-0048</v>
      </c>
      <c r="C601" s="2" t="str">
        <f xml:space="preserve"> _xll.EPMOlapMemberO("[BRAND].[].[ P&amp;S]",""," P&amp;S","","000")</f>
        <v xml:space="preserve"> P&amp;S</v>
      </c>
      <c r="D601" s="2" t="str">
        <f xml:space="preserve"> _xll.EPMOlapMemberO("[AM2MARKETDESCR].[].[CZECH REPUBLIC]","","CZECH REPUBLIC","","000")</f>
        <v>CZECH REPUBLIC</v>
      </c>
      <c r="E601" s="2" t="str">
        <f xml:space="preserve"> _xll.EPMOlapMemberO("[AM2PARENTCUSTGROUP].[].[__NULL]","","(None)","","000")</f>
        <v>(None)</v>
      </c>
      <c r="F601" s="2" t="str">
        <f xml:space="preserve"> _xll.EPMOlapMemberO("[KEY_FIGURES].[].[INITIALINVENTORY]","","Stock","","000")</f>
        <v>Stock</v>
      </c>
      <c r="AQ601" s="2">
        <v>504</v>
      </c>
    </row>
    <row r="602" spans="1:52" x14ac:dyDescent="0.35">
      <c r="A602" s="2" t="str">
        <f xml:space="preserve"> _xll.EPMOlapMemberO("[LOCID].[].[Munich plant]","","Munich plant","","000")</f>
        <v>Munich plant</v>
      </c>
      <c r="B602" s="2" t="str">
        <f xml:space="preserve"> _xll.EPMOlapMemberO("[PRDID].[].[999-74503-0048]","","999-74503-0048","","000")</f>
        <v>999-74503-0048</v>
      </c>
      <c r="C602" s="2" t="str">
        <f xml:space="preserve"> _xll.EPMOlapMemberO("[BRAND].[].[ P&amp;S]",""," P&amp;S","","000")</f>
        <v xml:space="preserve"> P&amp;S</v>
      </c>
      <c r="D602" s="2" t="str">
        <f xml:space="preserve"> _xll.EPMOlapMemberO("[AM2MARKETDESCR].[].[CZECH REPUBLIC]","","CZECH REPUBLIC","","000")</f>
        <v>CZECH REPUBLIC</v>
      </c>
      <c r="E602" s="2" t="str">
        <f xml:space="preserve"> _xll.EPMOlapMemberO("[AM2PARENTCUSTGROUP].[].[__NULL]","","(None)","","000")</f>
        <v>(None)</v>
      </c>
      <c r="F602" s="2" t="str">
        <f xml:space="preserve"> _xll.EPMOlapMemberO("[KEY_FIGURES].[].[CONFIRMEDPRODUCTION]","","Production Order","","000")</f>
        <v>Production Order</v>
      </c>
      <c r="AT602" s="2">
        <v>754</v>
      </c>
      <c r="AW602" s="2">
        <v>783</v>
      </c>
      <c r="AZ602" s="2">
        <v>1015</v>
      </c>
    </row>
    <row r="603" spans="1:52" x14ac:dyDescent="0.35">
      <c r="A603" s="2" t="str">
        <f xml:space="preserve"> _xll.EPMOlapMemberO("[LOCID].[].[Munich plant]","","Munich plant","","000")</f>
        <v>Munich plant</v>
      </c>
      <c r="B603" s="2" t="str">
        <f xml:space="preserve"> _xll.EPMOlapMemberO("[PRDID].[].[999-74503-0049]","","999-74503-0049","","000")</f>
        <v>999-74503-0049</v>
      </c>
      <c r="C603" s="2" t="str">
        <f xml:space="preserve"> _xll.EPMOlapMemberO("[BRAND].[].[ P&amp;S]",""," P&amp;S","","000")</f>
        <v xml:space="preserve"> P&amp;S</v>
      </c>
      <c r="D603" s="2" t="str">
        <f xml:space="preserve"> _xll.EPMOlapMemberO("[AM2MARKETDESCR].[].[CZECH REPUBLIC]","","CZECH REPUBLIC","","000")</f>
        <v>CZECH REPUBLIC</v>
      </c>
      <c r="E603" s="2" t="str">
        <f xml:space="preserve"> _xll.EPMOlapMemberO("[AM2PARENTCUSTGROUP].[].[__NULL]","","(None)","","000")</f>
        <v>(None)</v>
      </c>
      <c r="F603" s="2" t="str">
        <f xml:space="preserve"> _xll.EPMOlapMemberO("[KEY_FIGURES].[].[CONFIRMEDPRODUCTION]","","Production Order","","000")</f>
        <v>Production Order</v>
      </c>
      <c r="AR603" s="2">
        <v>403.2</v>
      </c>
      <c r="AT603" s="2">
        <v>333.5</v>
      </c>
      <c r="AW603" s="2">
        <v>391.5</v>
      </c>
      <c r="AZ603" s="2">
        <v>478.5</v>
      </c>
    </row>
    <row r="604" spans="1:52" x14ac:dyDescent="0.35">
      <c r="A604" s="2" t="str">
        <f xml:space="preserve"> _xll.EPMOlapMemberO("[LOCID].[].[Munich plant]","","Munich plant","","000")</f>
        <v>Munich plant</v>
      </c>
      <c r="B604" s="2" t="str">
        <f xml:space="preserve"> _xll.EPMOlapMemberO("[PRDID].[].[999-74503-0050]","","999-74503-0050","","000")</f>
        <v>999-74503-0050</v>
      </c>
      <c r="C604" s="2" t="str">
        <f xml:space="preserve"> _xll.EPMOlapMemberO("[BRAND].[].[ P&amp;S]",""," P&amp;S","","000")</f>
        <v xml:space="preserve"> P&amp;S</v>
      </c>
      <c r="D604" s="2" t="str">
        <f xml:space="preserve"> _xll.EPMOlapMemberO("[AM2MARKETDESCR].[].[POLAND]","","POLAND","","000")</f>
        <v>POLAND</v>
      </c>
      <c r="E604" s="2" t="str">
        <f xml:space="preserve"> _xll.EPMOlapMemberO("[AM2PARENTCUSTGROUP].[].[__NULL]","","(None)","","000")</f>
        <v>(None)</v>
      </c>
      <c r="F604" s="2" t="str">
        <f xml:space="preserve"> _xll.EPMOlapMemberO("[KEY_FIGURES].[].[CONFIRMEDPRODUCTION]","","Production Order","","000")</f>
        <v>Production Order</v>
      </c>
      <c r="AS604" s="2">
        <v>3536.1669999999999</v>
      </c>
      <c r="AV604" s="2">
        <v>536.5</v>
      </c>
      <c r="AY604" s="2">
        <v>3625</v>
      </c>
    </row>
    <row r="605" spans="1:52" x14ac:dyDescent="0.35">
      <c r="A605" s="2" t="str">
        <f xml:space="preserve"> _xll.EPMOlapMemberO("[LOCID].[].[Munich plant]","","Munich plant","","000")</f>
        <v>Munich plant</v>
      </c>
      <c r="B605" s="2" t="str">
        <f xml:space="preserve"> _xll.EPMOlapMemberO("[PRDID].[].[999-74503-0051]","","999-74503-0051","","000")</f>
        <v>999-74503-0051</v>
      </c>
      <c r="C605" s="2" t="str">
        <f xml:space="preserve"> _xll.EPMOlapMemberO("[BRAND].[].[ P&amp;S]",""," P&amp;S","","000")</f>
        <v xml:space="preserve"> P&amp;S</v>
      </c>
      <c r="D605" s="2" t="str">
        <f xml:space="preserve"> _xll.EPMOlapMemberO("[AM2MARKETDESCR].[].[POLAND]","","POLAND","","000")</f>
        <v>POLAND</v>
      </c>
      <c r="E605" s="2" t="str">
        <f xml:space="preserve"> _xll.EPMOlapMemberO("[AM2PARENTCUSTGROUP].[].[__NULL]","","(None)","","000")</f>
        <v>(None)</v>
      </c>
      <c r="F605" s="2" t="str">
        <f xml:space="preserve"> _xll.EPMOlapMemberO("[KEY_FIGURES].[].[INITIALINVENTORY]","","Stock","","000")</f>
        <v>Stock</v>
      </c>
      <c r="AQ605" s="2">
        <v>1310.4000000000001</v>
      </c>
    </row>
    <row r="606" spans="1:52" x14ac:dyDescent="0.35">
      <c r="A606" s="2" t="str">
        <f xml:space="preserve"> _xll.EPMOlapMemberO("[LOCID].[].[Munich plant]","","Munich plant","","000")</f>
        <v>Munich plant</v>
      </c>
      <c r="B606" s="2" t="str">
        <f xml:space="preserve"> _xll.EPMOlapMemberO("[PRDID].[].[999-74503-0051]","","999-74503-0051","","000")</f>
        <v>999-74503-0051</v>
      </c>
      <c r="C606" s="2" t="str">
        <f xml:space="preserve"> _xll.EPMOlapMemberO("[BRAND].[].[ P&amp;S]",""," P&amp;S","","000")</f>
        <v xml:space="preserve"> P&amp;S</v>
      </c>
      <c r="D606" s="2" t="str">
        <f xml:space="preserve"> _xll.EPMOlapMemberO("[AM2MARKETDESCR].[].[POLAND]","","POLAND","","000")</f>
        <v>POLAND</v>
      </c>
      <c r="E606" s="2" t="str">
        <f xml:space="preserve"> _xll.EPMOlapMemberO("[AM2PARENTCUSTGROUP].[].[__NULL]","","(None)","","000")</f>
        <v>(None)</v>
      </c>
      <c r="F606" s="2" t="str">
        <f xml:space="preserve"> _xll.EPMOlapMemberO("[KEY_FIGURES].[].[CONFIRMEDPRODUCTION]","","Production Order","","000")</f>
        <v>Production Order</v>
      </c>
      <c r="AS606" s="2">
        <v>1943</v>
      </c>
      <c r="AU606" s="2">
        <v>435</v>
      </c>
      <c r="AV606" s="2">
        <v>3690.25</v>
      </c>
      <c r="AY606" s="2">
        <v>2972.5</v>
      </c>
    </row>
    <row r="607" spans="1:52" x14ac:dyDescent="0.35">
      <c r="A607" s="2" t="str">
        <f xml:space="preserve"> _xll.EPMOlapMemberO("[LOCID].[].[Munich plant]","","Munich plant","","000")</f>
        <v>Munich plant</v>
      </c>
      <c r="B607" s="2" t="str">
        <f xml:space="preserve"> _xll.EPMOlapMemberO("[PRDID].[].[999-74633-0006]","","999-74633-0006","","000")</f>
        <v>999-74633-0006</v>
      </c>
      <c r="C607" s="2" t="str">
        <f xml:space="preserve"> _xll.EPMOlapMemberO("[BRAND].[].[ NOBEL]",""," NOBEL","","000")</f>
        <v xml:space="preserve"> NOBEL</v>
      </c>
      <c r="D607" s="2" t="str">
        <f xml:space="preserve"> _xll.EPMOlapMemberO("[AM2MARKETDESCR].[].[SPAIN]","","SPAIN","","000")</f>
        <v>SPAIN</v>
      </c>
      <c r="E607" s="2" t="str">
        <f xml:space="preserve"> _xll.EPMOlapMemberO("[AM2PARENTCUSTGROUP].[].[__NULL]","","(None)","","000")</f>
        <v>(None)</v>
      </c>
      <c r="F607" s="2" t="str">
        <f xml:space="preserve"> _xll.EPMOlapMemberO("[KEY_FIGURES].[].[CONFIRMEDPRODUCTION]","","Production Order","","000")</f>
        <v>Production Order</v>
      </c>
      <c r="AR607" s="2">
        <v>7252.0219999999999</v>
      </c>
      <c r="AU607" s="2">
        <v>159.09100000000001</v>
      </c>
    </row>
    <row r="608" spans="1:52" x14ac:dyDescent="0.35">
      <c r="A608" s="2" t="str">
        <f xml:space="preserve"> _xll.EPMOlapMemberO("[LOCID].[].[Munich plant]","","Munich plant","","000")</f>
        <v>Munich plant</v>
      </c>
      <c r="B608" s="2" t="str">
        <f xml:space="preserve"> _xll.EPMOlapMemberO("[PRDID].[].[999-74652-0004]","","999-74652-0004","","000")</f>
        <v>999-74652-0004</v>
      </c>
      <c r="C608" s="2" t="str">
        <f xml:space="preserve"> _xll.EPMOlapMemberO("[BRAND].[].[ NEWS]",""," NEWS","","000")</f>
        <v xml:space="preserve"> NEWS</v>
      </c>
      <c r="D608" s="2" t="str">
        <f xml:space="preserve"> _xll.EPMOlapMemberO("[AM2MARKETDESCR].[].[LUXEMBURG]","","LUXEMBURG","","000")</f>
        <v>LUXEMBURG</v>
      </c>
      <c r="E608" s="2" t="str">
        <f xml:space="preserve"> _xll.EPMOlapMemberO("[AM2PARENTCUSTGROUP].[].[__NULL]","","(None)","","000")</f>
        <v>(None)</v>
      </c>
      <c r="F608" s="2" t="str">
        <f xml:space="preserve"> _xll.EPMOlapMemberO("[KEY_FIGURES].[].[CONFIRMEDPRODUCTION]","","Production Order","","000")</f>
        <v>Production Order</v>
      </c>
      <c r="AV608" s="2">
        <v>36</v>
      </c>
      <c r="AY608" s="2">
        <v>68</v>
      </c>
    </row>
    <row r="609" spans="1:52" x14ac:dyDescent="0.35">
      <c r="A609" s="2" t="str">
        <f xml:space="preserve"> _xll.EPMOlapMemberO("[LOCID].[].[Munich plant]","","Munich plant","","000")</f>
        <v>Munich plant</v>
      </c>
      <c r="B609" s="2" t="str">
        <f xml:space="preserve"> _xll.EPMOlapMemberO("[PRDID].[].[999-74740-0005]","","999-74740-0005","","000")</f>
        <v>999-74740-0005</v>
      </c>
      <c r="C609" s="2" t="str">
        <f xml:space="preserve"> _xll.EPMOlapMemberO("[BRAND].[].[ NOBEL]",""," NOBEL","","000")</f>
        <v xml:space="preserve"> NOBEL</v>
      </c>
      <c r="D609" s="2" t="str">
        <f xml:space="preserve"> _xll.EPMOlapMemberO("[AM2MARKETDESCR].[].[SPAIN]","","SPAIN","","000")</f>
        <v>SPAIN</v>
      </c>
      <c r="E609" s="2" t="str">
        <f xml:space="preserve"> _xll.EPMOlapMemberO("[AM2PARENTCUSTGROUP].[].[__NULL]","","(None)","","000")</f>
        <v>(None)</v>
      </c>
      <c r="F609" s="2" t="str">
        <f xml:space="preserve"> _xll.EPMOlapMemberO("[KEY_FIGURES].[].[CONFIRMEDPRODUCTION]","","Production Order","","000")</f>
        <v>Production Order</v>
      </c>
      <c r="AR609" s="2">
        <v>205</v>
      </c>
      <c r="AU609" s="2">
        <v>70</v>
      </c>
      <c r="AX609" s="2">
        <v>25</v>
      </c>
    </row>
    <row r="610" spans="1:52" x14ac:dyDescent="0.35">
      <c r="A610" s="2" t="str">
        <f xml:space="preserve"> _xll.EPMOlapMemberO("[LOCID].[].[Munich plant]","","Munich plant","","000")</f>
        <v>Munich plant</v>
      </c>
      <c r="B610" s="2" t="str">
        <f xml:space="preserve"> _xll.EPMOlapMemberO("[PRDID].[].[999-74780-0188]","","999-74780-0188","","000")</f>
        <v>999-74780-0188</v>
      </c>
      <c r="C610" s="2" t="str">
        <f xml:space="preserve"> _xll.EPMOlapMemberO("[BRAND].[].[ TEREA]",""," TEREA","","000")</f>
        <v xml:space="preserve"> TEREA</v>
      </c>
      <c r="D610" s="2" t="str">
        <f xml:space="preserve"> _xll.EPMOlapMemberO("[AM2MARKETDESCR].[].[GREECE ]","","GREECE ","","000")</f>
        <v xml:space="preserve">GREECE </v>
      </c>
      <c r="E610" s="2" t="str">
        <f xml:space="preserve"> _xll.EPMOlapMemberO("[AM2PARENTCUSTGROUP].[].[Mondelez]","","Mondelez","","000")</f>
        <v>Mondelez</v>
      </c>
      <c r="F610" s="2" t="str">
        <f xml:space="preserve"> _xll.EPMOlapMemberO("[KEY_FIGURES].[].[AM2ORDERINTAKE]","","Sales Order","","000")</f>
        <v>Sales Order</v>
      </c>
      <c r="AH610" s="2">
        <v>1008</v>
      </c>
    </row>
    <row r="611" spans="1:52" x14ac:dyDescent="0.35">
      <c r="A611" s="2" t="str">
        <f xml:space="preserve"> _xll.EPMOlapMemberO("[LOCID].[].[Munich plant]","","Munich plant","","000")</f>
        <v>Munich plant</v>
      </c>
      <c r="B611" s="2" t="str">
        <f xml:space="preserve"> _xll.EPMOlapMemberO("[PRDID].[].[999-74780-0188]","","999-74780-0188","","000")</f>
        <v>999-74780-0188</v>
      </c>
      <c r="C611" s="2" t="str">
        <f xml:space="preserve"> _xll.EPMOlapMemberO("[BRAND].[].[ TEREA]",""," TEREA","","000")</f>
        <v xml:space="preserve"> TEREA</v>
      </c>
      <c r="D611" s="2" t="str">
        <f xml:space="preserve"> _xll.EPMOlapMemberO("[AM2MARKETDESCR].[].[GREECE ]","","GREECE ","","000")</f>
        <v xml:space="preserve">GREECE </v>
      </c>
      <c r="E611" s="2" t="str">
        <f xml:space="preserve"> _xll.EPMOlapMemberO("[AM2PARENTCUSTGROUP].[].[Mondelez]","","Mondelez","","000")</f>
        <v>Mondelez</v>
      </c>
      <c r="F611" s="2" t="str">
        <f xml:space="preserve"> _xll.EPMOlapMemberO("[KEY_FIGURES].[].[AM2ACTUALSHIPMENTS]","","Shipments","","000")</f>
        <v>Shipments</v>
      </c>
      <c r="AG611" s="2">
        <v>1008</v>
      </c>
    </row>
    <row r="612" spans="1:52" x14ac:dyDescent="0.35">
      <c r="A612" s="2" t="str">
        <f xml:space="preserve"> _xll.EPMOlapMemberO("[LOCID].[].[Munich plant]","","Munich plant","","000")</f>
        <v>Munich plant</v>
      </c>
      <c r="B612" s="2" t="str">
        <f xml:space="preserve"> _xll.EPMOlapMemberO("[PRDID].[].[999-74898-0068]","","999-74898-0068","","000")</f>
        <v>999-74898-0068</v>
      </c>
      <c r="C612" s="2" t="str">
        <f xml:space="preserve"> _xll.EPMOlapMemberO("[BRAND].[].[ JPS]",""," JPS","","000")</f>
        <v xml:space="preserve"> JPS</v>
      </c>
      <c r="D612" s="2" t="str">
        <f xml:space="preserve"> _xll.EPMOlapMemberO("[AM2MARKETDESCR].[].[SPAIN]","","SPAIN","","000")</f>
        <v>SPAIN</v>
      </c>
      <c r="E612" s="2" t="str">
        <f xml:space="preserve"> _xll.EPMOlapMemberO("[AM2PARENTCUSTGROUP].[].[__NULL]","","(None)","","000")</f>
        <v>(None)</v>
      </c>
      <c r="F612" s="2" t="str">
        <f xml:space="preserve"> _xll.EPMOlapMemberO("[KEY_FIGURES].[].[CONFIRMEDPRODUCTION]","","Production Order","","000")</f>
        <v>Production Order</v>
      </c>
      <c r="AR612" s="2">
        <v>100.8</v>
      </c>
    </row>
    <row r="613" spans="1:52" x14ac:dyDescent="0.35">
      <c r="A613" s="2" t="str">
        <f xml:space="preserve"> _xll.EPMOlapMemberO("[LOCID].[].[Munich plant]","","Munich plant","","000")</f>
        <v>Munich plant</v>
      </c>
      <c r="B613" s="2" t="str">
        <f xml:space="preserve"> _xll.EPMOlapMemberO("[PRDID].[].[999-74898-0074]","","999-74898-0074","","000")</f>
        <v>999-74898-0074</v>
      </c>
      <c r="C613" s="2" t="str">
        <f xml:space="preserve"> _xll.EPMOlapMemberO("[BRAND].[].[ JPS]",""," JPS","","000")</f>
        <v xml:space="preserve"> JPS</v>
      </c>
      <c r="D613" s="2" t="str">
        <f xml:space="preserve"> _xll.EPMOlapMemberO("[AM2MARKETDESCR].[].[PORTUGAL]","","PORTUGAL","","000")</f>
        <v>PORTUGAL</v>
      </c>
      <c r="E613" s="2" t="str">
        <f xml:space="preserve"> _xll.EPMOlapMemberO("[AM2PARENTCUSTGROUP].[].[__NULL]","","(None)","","000")</f>
        <v>(None)</v>
      </c>
      <c r="F613" s="2" t="str">
        <f xml:space="preserve"> _xll.EPMOlapMemberO("[KEY_FIGURES].[].[CONFIRMEDPRODUCTION]","","Production Order","","000")</f>
        <v>Production Order</v>
      </c>
      <c r="AR613" s="2">
        <v>210</v>
      </c>
    </row>
    <row r="614" spans="1:52" x14ac:dyDescent="0.35">
      <c r="A614" s="2" t="str">
        <f xml:space="preserve"> _xll.EPMOlapMemberO("[LOCID].[].[Munich plant]","","Munich plant","","000")</f>
        <v>Munich plant</v>
      </c>
      <c r="B614" s="2" t="str">
        <f xml:space="preserve"> _xll.EPMOlapMemberO("[PRDID].[].[999-74898-0081]","","999-74898-0081","","000")</f>
        <v>999-74898-0081</v>
      </c>
      <c r="C614" s="2" t="str">
        <f xml:space="preserve"> _xll.EPMOlapMemberO("[BRAND].[].[ JPS]",""," JPS","","000")</f>
        <v xml:space="preserve"> JPS</v>
      </c>
      <c r="D614" s="2" t="str">
        <f xml:space="preserve"> _xll.EPMOlapMemberO("[AM2MARKETDESCR].[].[AUSTRIA]","","AUSTRIA","","000")</f>
        <v>AUSTRIA</v>
      </c>
      <c r="E614" s="2" t="str">
        <f xml:space="preserve"> _xll.EPMOlapMemberO("[AM2PARENTCUSTGROUP].[].[__NULL]","","(None)","","000")</f>
        <v>(None)</v>
      </c>
      <c r="F614" s="2" t="str">
        <f xml:space="preserve"> _xll.EPMOlapMemberO("[KEY_FIGURES].[].[CONFIRMEDPRODUCTION]","","Production Order","","000")</f>
        <v>Production Order</v>
      </c>
      <c r="AS614" s="2">
        <v>5914.2860000000001</v>
      </c>
      <c r="AU614" s="2">
        <v>2360</v>
      </c>
      <c r="AW614" s="2">
        <v>1915</v>
      </c>
      <c r="AY614" s="2">
        <v>2025</v>
      </c>
    </row>
    <row r="615" spans="1:52" x14ac:dyDescent="0.35">
      <c r="A615" s="2" t="str">
        <f xml:space="preserve"> _xll.EPMOlapMemberO("[LOCID].[].[Munich plant]","","Munich plant","","000")</f>
        <v>Munich plant</v>
      </c>
      <c r="B615" s="2" t="str">
        <f xml:space="preserve"> _xll.EPMOlapMemberO("[PRDID].[].[999-74898-0082]","","999-74898-0082","","000")</f>
        <v>999-74898-0082</v>
      </c>
      <c r="C615" s="2" t="str">
        <f xml:space="preserve"> _xll.EPMOlapMemberO("[BRAND].[].[ JPS]",""," JPS","","000")</f>
        <v xml:space="preserve"> JPS</v>
      </c>
      <c r="D615" s="2" t="str">
        <f xml:space="preserve"> _xll.EPMOlapMemberO("[AM2MARKETDESCR].[].[LUXEMBURG]","","LUXEMBURG","","000")</f>
        <v>LUXEMBURG</v>
      </c>
      <c r="E615" s="2" t="str">
        <f xml:space="preserve"> _xll.EPMOlapMemberO("[AM2PARENTCUSTGROUP].[].[__NULL]","","(None)","","000")</f>
        <v>(None)</v>
      </c>
      <c r="F615" s="2" t="str">
        <f xml:space="preserve"> _xll.EPMOlapMemberO("[KEY_FIGURES].[].[CONFIRMEDPRODUCTION]","","Production Order","","000")</f>
        <v>Production Order</v>
      </c>
      <c r="AR615" s="2">
        <v>105</v>
      </c>
      <c r="AU615" s="2">
        <v>135</v>
      </c>
      <c r="AY615" s="2">
        <v>175</v>
      </c>
    </row>
    <row r="616" spans="1:52" x14ac:dyDescent="0.35">
      <c r="A616" s="2" t="str">
        <f xml:space="preserve"> _xll.EPMOlapMemberO("[LOCID].[].[Munich plant]","","Munich plant","","000")</f>
        <v>Munich plant</v>
      </c>
      <c r="B616" s="2" t="str">
        <f xml:space="preserve"> _xll.EPMOlapMemberO("[PRDID].[].[999-74898-0083]","","999-74898-0083","","000")</f>
        <v>999-74898-0083</v>
      </c>
      <c r="C616" s="2" t="str">
        <f xml:space="preserve"> _xll.EPMOlapMemberO("[BRAND].[].[ JPS]",""," JPS","","000")</f>
        <v xml:space="preserve"> JPS</v>
      </c>
      <c r="D616" s="2" t="str">
        <f xml:space="preserve"> _xll.EPMOlapMemberO("[AM2MARKETDESCR].[].[LUXEMBURG]","","LUXEMBURG","","000")</f>
        <v>LUXEMBURG</v>
      </c>
      <c r="E616" s="2" t="str">
        <f xml:space="preserve"> _xll.EPMOlapMemberO("[AM2PARENTCUSTGROUP].[].[__NULL]","","(None)","","000")</f>
        <v>(None)</v>
      </c>
      <c r="F616" s="2" t="str">
        <f xml:space="preserve"> _xll.EPMOlapMemberO("[KEY_FIGURES].[].[CONFIRMEDPRODUCTION]","","Production Order","","000")</f>
        <v>Production Order</v>
      </c>
      <c r="AR616" s="2">
        <v>1103</v>
      </c>
      <c r="AV616" s="2">
        <v>395</v>
      </c>
      <c r="AZ616" s="2">
        <v>445</v>
      </c>
    </row>
    <row r="617" spans="1:52" x14ac:dyDescent="0.35">
      <c r="A617" s="2" t="str">
        <f xml:space="preserve"> _xll.EPMOlapMemberO("[LOCID].[].[Munich plant]","","Munich plant","","000")</f>
        <v>Munich plant</v>
      </c>
      <c r="B617" s="2" t="str">
        <f xml:space="preserve"> _xll.EPMOlapMemberO("[PRDID].[].[999-74898-0084]","","999-74898-0084","","000")</f>
        <v>999-74898-0084</v>
      </c>
      <c r="C617" s="2" t="str">
        <f xml:space="preserve"> _xll.EPMOlapMemberO("[BRAND].[].[ JPS]",""," JPS","","000")</f>
        <v xml:space="preserve"> JPS</v>
      </c>
      <c r="D617" s="2" t="str">
        <f xml:space="preserve"> _xll.EPMOlapMemberO("[AM2MARKETDESCR].[].[LUXEMBURG]","","LUXEMBURG","","000")</f>
        <v>LUXEMBURG</v>
      </c>
      <c r="E617" s="2" t="str">
        <f xml:space="preserve"> _xll.EPMOlapMemberO("[AM2PARENTCUSTGROUP].[].[__NULL]","","(None)","","000")</f>
        <v>(None)</v>
      </c>
      <c r="F617" s="2" t="str">
        <f xml:space="preserve"> _xll.EPMOlapMemberO("[KEY_FIGURES].[].[CONFIRMEDPRODUCTION]","","Production Order","","000")</f>
        <v>Production Order</v>
      </c>
      <c r="AR617" s="2">
        <v>141.667</v>
      </c>
      <c r="AU617" s="2">
        <v>65</v>
      </c>
      <c r="AX617" s="2">
        <v>60</v>
      </c>
    </row>
    <row r="618" spans="1:52" x14ac:dyDescent="0.35">
      <c r="A618" s="2" t="str">
        <f xml:space="preserve"> _xll.EPMOlapMemberO("[LOCID].[].[Munich plant]","","Munich plant","","000")</f>
        <v>Munich plant</v>
      </c>
      <c r="B618" s="2" t="str">
        <f xml:space="preserve"> _xll.EPMOlapMemberO("[PRDID].[].[999-74898-0085]","","999-74898-0085","","000")</f>
        <v>999-74898-0085</v>
      </c>
      <c r="C618" s="2" t="str">
        <f xml:space="preserve"> _xll.EPMOlapMemberO("[BRAND].[].[ JPS]",""," JPS","","000")</f>
        <v xml:space="preserve"> JPS</v>
      </c>
      <c r="D618" s="2" t="str">
        <f xml:space="preserve"> _xll.EPMOlapMemberO("[AM2MARKETDESCR].[].[LUXEMBURG]","","LUXEMBURG","","000")</f>
        <v>LUXEMBURG</v>
      </c>
      <c r="E618" s="2" t="str">
        <f xml:space="preserve"> _xll.EPMOlapMemberO("[AM2PARENTCUSTGROUP].[].[__NULL]","","(None)","","000")</f>
        <v>(None)</v>
      </c>
      <c r="F618" s="2" t="str">
        <f xml:space="preserve"> _xll.EPMOlapMemberO("[KEY_FIGURES].[].[CONFIRMEDPRODUCTION]","","Production Order","","000")</f>
        <v>Production Order</v>
      </c>
      <c r="AR618" s="2">
        <v>525</v>
      </c>
      <c r="AU618" s="2">
        <v>485</v>
      </c>
      <c r="AY618" s="2">
        <v>505</v>
      </c>
    </row>
    <row r="619" spans="1:52" x14ac:dyDescent="0.35">
      <c r="A619" s="2" t="str">
        <f xml:space="preserve"> _xll.EPMOlapMemberO("[LOCID].[].[Munich plant]","","Munich plant","","000")</f>
        <v>Munich plant</v>
      </c>
      <c r="B619" s="2" t="str">
        <f xml:space="preserve"> _xll.EPMOlapMemberO("[PRDID].[].[999-74898-0086]","","999-74898-0086","","000")</f>
        <v>999-74898-0086</v>
      </c>
      <c r="C619" s="2" t="str">
        <f xml:space="preserve"> _xll.EPMOlapMemberO("[BRAND].[].[ JPS]",""," JPS","","000")</f>
        <v xml:space="preserve"> JPS</v>
      </c>
      <c r="D619" s="2" t="str">
        <f xml:space="preserve"> _xll.EPMOlapMemberO("[AM2MARKETDESCR].[].[GREECE]","","GREECE","","000")</f>
        <v>GREECE</v>
      </c>
      <c r="E619" s="2" t="str">
        <f xml:space="preserve"> _xll.EPMOlapMemberO("[AM2PARENTCUSTGROUP].[].[__NULL]","","(None)","","000")</f>
        <v>(None)</v>
      </c>
      <c r="F619" s="2" t="str">
        <f xml:space="preserve"> _xll.EPMOlapMemberO("[KEY_FIGURES].[].[INITIALINVENTORY]","","Stock","","000")</f>
        <v>Stock</v>
      </c>
      <c r="AQ619" s="2">
        <v>100.8</v>
      </c>
    </row>
    <row r="620" spans="1:52" x14ac:dyDescent="0.35">
      <c r="A620" s="2" t="str">
        <f xml:space="preserve"> _xll.EPMOlapMemberO("[LOCID].[].[Munich plant]","","Munich plant","","000")</f>
        <v>Munich plant</v>
      </c>
      <c r="B620" s="2" t="str">
        <f xml:space="preserve"> _xll.EPMOlapMemberO("[PRDID].[].[999-74898-0086]","","999-74898-0086","","000")</f>
        <v>999-74898-0086</v>
      </c>
      <c r="C620" s="2" t="str">
        <f xml:space="preserve"> _xll.EPMOlapMemberO("[BRAND].[].[ JPS]",""," JPS","","000")</f>
        <v xml:space="preserve"> JPS</v>
      </c>
      <c r="D620" s="2" t="str">
        <f xml:space="preserve"> _xll.EPMOlapMemberO("[AM2MARKETDESCR].[].[GREECE]","","GREECE","","000")</f>
        <v>GREECE</v>
      </c>
      <c r="E620" s="2" t="str">
        <f xml:space="preserve"> _xll.EPMOlapMemberO("[AM2PARENTCUSTGROUP].[].[__NULL]","","(None)","","000")</f>
        <v>(None)</v>
      </c>
      <c r="F620" s="2" t="str">
        <f xml:space="preserve"> _xll.EPMOlapMemberO("[KEY_FIGURES].[].[CONFIRMEDPRODUCTION]","","Production Order","","000")</f>
        <v>Production Order</v>
      </c>
      <c r="AR620" s="2">
        <v>102.533</v>
      </c>
      <c r="AU620" s="2">
        <v>60</v>
      </c>
      <c r="AY620" s="2">
        <v>130</v>
      </c>
    </row>
    <row r="621" spans="1:52" x14ac:dyDescent="0.35">
      <c r="A621" s="2" t="str">
        <f xml:space="preserve"> _xll.EPMOlapMemberO("[LOCID].[].[Munich plant]","","Munich plant","","000")</f>
        <v>Munich plant</v>
      </c>
      <c r="B621" s="2" t="str">
        <f xml:space="preserve"> _xll.EPMOlapMemberO("[PRDID].[].[999-74898-0087]","","999-74898-0087","","000")</f>
        <v>999-74898-0087</v>
      </c>
      <c r="C621" s="2" t="str">
        <f xml:space="preserve"> _xll.EPMOlapMemberO("[BRAND].[].[ JPS]",""," JPS","","000")</f>
        <v xml:space="preserve"> JPS</v>
      </c>
      <c r="D621" s="2" t="str">
        <f xml:space="preserve"> _xll.EPMOlapMemberO("[AM2MARKETDESCR].[].[GREECE]","","GREECE","","000")</f>
        <v>GREECE</v>
      </c>
      <c r="E621" s="2" t="str">
        <f xml:space="preserve"> _xll.EPMOlapMemberO("[AM2PARENTCUSTGROUP].[].[__NULL]","","(None)","","000")</f>
        <v>(None)</v>
      </c>
      <c r="F621" s="2" t="str">
        <f xml:space="preserve"> _xll.EPMOlapMemberO("[KEY_FIGURES].[].[INITIALINVENTORY]","","Stock","","000")</f>
        <v>Stock</v>
      </c>
      <c r="AQ621" s="2">
        <v>100.8</v>
      </c>
    </row>
    <row r="622" spans="1:52" x14ac:dyDescent="0.35">
      <c r="A622" s="2" t="str">
        <f xml:space="preserve"> _xll.EPMOlapMemberO("[LOCID].[].[Munich plant]","","Munich plant","","000")</f>
        <v>Munich plant</v>
      </c>
      <c r="B622" s="2" t="str">
        <f xml:space="preserve"> _xll.EPMOlapMemberO("[PRDID].[].[999-74898-0087]","","999-74898-0087","","000")</f>
        <v>999-74898-0087</v>
      </c>
      <c r="C622" s="2" t="str">
        <f xml:space="preserve"> _xll.EPMOlapMemberO("[BRAND].[].[ JPS]",""," JPS","","000")</f>
        <v xml:space="preserve"> JPS</v>
      </c>
      <c r="D622" s="2" t="str">
        <f xml:space="preserve"> _xll.EPMOlapMemberO("[AM2MARKETDESCR].[].[GREECE]","","GREECE","","000")</f>
        <v>GREECE</v>
      </c>
      <c r="E622" s="2" t="str">
        <f xml:space="preserve"> _xll.EPMOlapMemberO("[AM2PARENTCUSTGROUP].[].[__NULL]","","(None)","","000")</f>
        <v>(None)</v>
      </c>
      <c r="F622" s="2" t="str">
        <f xml:space="preserve"> _xll.EPMOlapMemberO("[KEY_FIGURES].[].[CONFIRMEDPRODUCTION]","","Production Order","","000")</f>
        <v>Production Order</v>
      </c>
      <c r="AX622" s="2">
        <v>105</v>
      </c>
    </row>
    <row r="623" spans="1:52" x14ac:dyDescent="0.35">
      <c r="A623" s="2" t="str">
        <f xml:space="preserve"> _xll.EPMOlapMemberO("[LOCID].[].[Munich plant]","","Munich plant","","000")</f>
        <v>Munich plant</v>
      </c>
      <c r="B623" s="2" t="str">
        <f xml:space="preserve"> _xll.EPMOlapMemberO("[PRDID].[].[999-74898-0088]","","999-74898-0088","","000")</f>
        <v>999-74898-0088</v>
      </c>
      <c r="C623" s="2" t="str">
        <f xml:space="preserve"> _xll.EPMOlapMemberO("[BRAND].[].[ JPS]",""," JPS","","000")</f>
        <v xml:space="preserve"> JPS</v>
      </c>
      <c r="D623" s="2" t="str">
        <f xml:space="preserve"> _xll.EPMOlapMemberO("[AM2MARKETDESCR].[].[GREECE]","","GREECE","","000")</f>
        <v>GREECE</v>
      </c>
      <c r="E623" s="2" t="str">
        <f xml:space="preserve"> _xll.EPMOlapMemberO("[AM2PARENTCUSTGROUP].[].[__NULL]","","(None)","","000")</f>
        <v>(None)</v>
      </c>
      <c r="F623" s="2" t="str">
        <f xml:space="preserve"> _xll.EPMOlapMemberO("[KEY_FIGURES].[].[CONFIRMEDPRODUCTION]","","Production Order","","000")</f>
        <v>Production Order</v>
      </c>
      <c r="AR623" s="2">
        <v>449.5</v>
      </c>
      <c r="AW623" s="2">
        <v>72.5</v>
      </c>
      <c r="AZ623" s="2">
        <v>319</v>
      </c>
    </row>
    <row r="624" spans="1:52" x14ac:dyDescent="0.35">
      <c r="A624" s="2" t="str">
        <f xml:space="preserve"> _xll.EPMOlapMemberO("[LOCID].[].[Munich plant]","","Munich plant","","000")</f>
        <v>Munich plant</v>
      </c>
      <c r="B624" s="2" t="str">
        <f xml:space="preserve"> _xll.EPMOlapMemberO("[PRDID].[].[999-74898-0091]","","999-74898-0091","","000")</f>
        <v>999-74898-0091</v>
      </c>
      <c r="C624" s="2" t="str">
        <f xml:space="preserve"> _xll.EPMOlapMemberO("[BRAND].[].[ JPS]",""," JPS","","000")</f>
        <v xml:space="preserve"> JPS</v>
      </c>
      <c r="D624" s="2" t="str">
        <f xml:space="preserve"> _xll.EPMOlapMemberO("[AM2MARKETDESCR].[].[SPAIN]","","SPAIN","","000")</f>
        <v>SPAIN</v>
      </c>
      <c r="E624" s="2" t="str">
        <f xml:space="preserve"> _xll.EPMOlapMemberO("[AM2PARENTCUSTGROUP].[].[__NULL]","","(None)","","000")</f>
        <v>(None)</v>
      </c>
      <c r="F624" s="2" t="str">
        <f xml:space="preserve"> _xll.EPMOlapMemberO("[KEY_FIGURES].[].[CONFIRMEDPRODUCTION]","","Production Order","","000")</f>
        <v>Production Order</v>
      </c>
      <c r="AR624" s="2">
        <v>275</v>
      </c>
      <c r="AU624" s="2">
        <v>75</v>
      </c>
      <c r="AX624" s="2">
        <v>265</v>
      </c>
      <c r="AY624" s="2">
        <v>305</v>
      </c>
    </row>
    <row r="625" spans="1:52" x14ac:dyDescent="0.35">
      <c r="A625" s="2" t="str">
        <f xml:space="preserve"> _xll.EPMOlapMemberO("[LOCID].[].[Munich plant]","","Munich plant","","000")</f>
        <v>Munich plant</v>
      </c>
      <c r="B625" s="2" t="str">
        <f xml:space="preserve"> _xll.EPMOlapMemberO("[PRDID].[].[999-74898-0092]","","999-74898-0092","","000")</f>
        <v>999-74898-0092</v>
      </c>
      <c r="C625" s="2" t="str">
        <f xml:space="preserve"> _xll.EPMOlapMemberO("[BRAND].[].[ JPS]",""," JPS","","000")</f>
        <v xml:space="preserve"> JPS</v>
      </c>
      <c r="D625" s="2" t="str">
        <f xml:space="preserve"> _xll.EPMOlapMemberO("[AM2MARKETDESCR].[].[SPAIN]","","SPAIN","","000")</f>
        <v>SPAIN</v>
      </c>
      <c r="E625" s="2" t="str">
        <f xml:space="preserve"> _xll.EPMOlapMemberO("[AM2PARENTCUSTGROUP].[].[__NULL]","","(None)","","000")</f>
        <v>(None)</v>
      </c>
      <c r="F625" s="2" t="str">
        <f xml:space="preserve"> _xll.EPMOlapMemberO("[KEY_FIGURES].[].[CONFIRMEDPRODUCTION]","","Production Order","","000")</f>
        <v>Production Order</v>
      </c>
      <c r="AR625" s="2">
        <v>504</v>
      </c>
      <c r="AT625" s="2">
        <v>60</v>
      </c>
      <c r="AW625" s="2">
        <v>40</v>
      </c>
      <c r="AZ625" s="2">
        <v>5</v>
      </c>
    </row>
    <row r="626" spans="1:52" x14ac:dyDescent="0.35">
      <c r="A626" s="2" t="str">
        <f xml:space="preserve"> _xll.EPMOlapMemberO("[LOCID].[].[Munich plant]","","Munich plant","","000")</f>
        <v>Munich plant</v>
      </c>
      <c r="B626" s="2" t="str">
        <f xml:space="preserve"> _xll.EPMOlapMemberO("[PRDID].[].[999-74898-0093]","","999-74898-0093","","000")</f>
        <v>999-74898-0093</v>
      </c>
      <c r="C626" s="2" t="str">
        <f xml:space="preserve"> _xll.EPMOlapMemberO("[BRAND].[].[ JPS]",""," JPS","","000")</f>
        <v xml:space="preserve"> JPS</v>
      </c>
      <c r="D626" s="2" t="str">
        <f xml:space="preserve"> _xll.EPMOlapMemberO("[AM2MARKETDESCR].[].[SPAIN]","","SPAIN","","000")</f>
        <v>SPAIN</v>
      </c>
      <c r="E626" s="2" t="str">
        <f xml:space="preserve"> _xll.EPMOlapMemberO("[AM2PARENTCUSTGROUP].[].[__NULL]","","(None)","","000")</f>
        <v>(None)</v>
      </c>
      <c r="F626" s="2" t="str">
        <f xml:space="preserve"> _xll.EPMOlapMemberO("[KEY_FIGURES].[].[INITIALINVENTORY]","","Stock","","000")</f>
        <v>Stock</v>
      </c>
      <c r="AQ626" s="2">
        <v>105</v>
      </c>
    </row>
    <row r="627" spans="1:52" x14ac:dyDescent="0.35">
      <c r="A627" s="2" t="str">
        <f xml:space="preserve"> _xll.EPMOlapMemberO("[LOCID].[].[Munich plant]","","Munich plant","","000")</f>
        <v>Munich plant</v>
      </c>
      <c r="B627" s="2" t="str">
        <f xml:space="preserve"> _xll.EPMOlapMemberO("[PRDID].[].[999-74898-0093]","","999-74898-0093","","000")</f>
        <v>999-74898-0093</v>
      </c>
      <c r="C627" s="2" t="str">
        <f xml:space="preserve"> _xll.EPMOlapMemberO("[BRAND].[].[ JPS]",""," JPS","","000")</f>
        <v xml:space="preserve"> JPS</v>
      </c>
      <c r="D627" s="2" t="str">
        <f xml:space="preserve"> _xll.EPMOlapMemberO("[AM2MARKETDESCR].[].[SPAIN]","","SPAIN","","000")</f>
        <v>SPAIN</v>
      </c>
      <c r="E627" s="2" t="str">
        <f xml:space="preserve"> _xll.EPMOlapMemberO("[AM2PARENTCUSTGROUP].[].[__NULL]","","(None)","","000")</f>
        <v>(None)</v>
      </c>
      <c r="F627" s="2" t="str">
        <f xml:space="preserve"> _xll.EPMOlapMemberO("[KEY_FIGURES].[].[CONFIRMEDPRODUCTION]","","Production Order","","000")</f>
        <v>Production Order</v>
      </c>
      <c r="AR627" s="2">
        <v>525</v>
      </c>
      <c r="AT627" s="2">
        <v>620</v>
      </c>
      <c r="AV627" s="2">
        <v>920</v>
      </c>
      <c r="AX627" s="2">
        <v>25</v>
      </c>
      <c r="AZ627" s="2">
        <v>645</v>
      </c>
    </row>
    <row r="628" spans="1:52" x14ac:dyDescent="0.35">
      <c r="A628" s="2" t="str">
        <f xml:space="preserve"> _xll.EPMOlapMemberO("[LOCID].[].[Munich plant]","","Munich plant","","000")</f>
        <v>Munich plant</v>
      </c>
      <c r="B628" s="2" t="str">
        <f xml:space="preserve"> _xll.EPMOlapMemberO("[PRDID].[].[999-74898-0094]","","999-74898-0094","","000")</f>
        <v>999-74898-0094</v>
      </c>
      <c r="C628" s="2" t="str">
        <f xml:space="preserve"> _xll.EPMOlapMemberO("[BRAND].[].[ JPS]",""," JPS","","000")</f>
        <v xml:space="preserve"> JPS</v>
      </c>
      <c r="D628" s="2" t="str">
        <f xml:space="preserve"> _xll.EPMOlapMemberO("[AM2MARKETDESCR].[].[AUSTRIA]","","AUSTRIA","","000")</f>
        <v>AUSTRIA</v>
      </c>
      <c r="E628" s="2" t="str">
        <f xml:space="preserve"> _xll.EPMOlapMemberO("[AM2PARENTCUSTGROUP].[].[__NULL]","","(None)","","000")</f>
        <v>(None)</v>
      </c>
      <c r="F628" s="2" t="str">
        <f xml:space="preserve"> _xll.EPMOlapMemberO("[KEY_FIGURES].[].[INITIALINVENTORY]","","Stock","","000")</f>
        <v>Stock</v>
      </c>
      <c r="AQ628" s="2">
        <v>100.8</v>
      </c>
    </row>
    <row r="629" spans="1:52" x14ac:dyDescent="0.35">
      <c r="A629" s="2" t="str">
        <f xml:space="preserve"> _xll.EPMOlapMemberO("[LOCID].[].[Munich plant]","","Munich plant","","000")</f>
        <v>Munich plant</v>
      </c>
      <c r="B629" s="2" t="str">
        <f xml:space="preserve"> _xll.EPMOlapMemberO("[PRDID].[].[999-74898-0094]","","999-74898-0094","","000")</f>
        <v>999-74898-0094</v>
      </c>
      <c r="C629" s="2" t="str">
        <f xml:space="preserve"> _xll.EPMOlapMemberO("[BRAND].[].[ JPS]",""," JPS","","000")</f>
        <v xml:space="preserve"> JPS</v>
      </c>
      <c r="D629" s="2" t="str">
        <f xml:space="preserve"> _xll.EPMOlapMemberO("[AM2MARKETDESCR].[].[AUSTRIA]","","AUSTRIA","","000")</f>
        <v>AUSTRIA</v>
      </c>
      <c r="E629" s="2" t="str">
        <f xml:space="preserve"> _xll.EPMOlapMemberO("[AM2PARENTCUSTGROUP].[].[__NULL]","","(None)","","000")</f>
        <v>(None)</v>
      </c>
      <c r="F629" s="2" t="str">
        <f xml:space="preserve"> _xll.EPMOlapMemberO("[KEY_FIGURES].[].[CONFIRMEDPRODUCTION]","","Production Order","","000")</f>
        <v>Production Order</v>
      </c>
      <c r="AR629" s="2">
        <v>904.85</v>
      </c>
      <c r="AV629" s="2">
        <v>319</v>
      </c>
      <c r="AZ629" s="2">
        <v>246.5</v>
      </c>
    </row>
    <row r="630" spans="1:52" x14ac:dyDescent="0.35">
      <c r="A630" s="2" t="str">
        <f xml:space="preserve"> _xll.EPMOlapMemberO("[LOCID].[].[Munich plant]","","Munich plant","","000")</f>
        <v>Munich plant</v>
      </c>
      <c r="B630" s="2" t="str">
        <f xml:space="preserve"> _xll.EPMOlapMemberO("[PRDID].[].[999-74898-0095]","","999-74898-0095","","000")</f>
        <v>999-74898-0095</v>
      </c>
      <c r="C630" s="2" t="str">
        <f xml:space="preserve"> _xll.EPMOlapMemberO("[BRAND].[].[ JPS]",""," JPS","","000")</f>
        <v xml:space="preserve"> JPS</v>
      </c>
      <c r="D630" s="2" t="str">
        <f xml:space="preserve"> _xll.EPMOlapMemberO("[AM2MARKETDESCR].[].[AUSTRIA]","","AUSTRIA","","000")</f>
        <v>AUSTRIA</v>
      </c>
      <c r="E630" s="2" t="str">
        <f xml:space="preserve"> _xll.EPMOlapMemberO("[AM2PARENTCUSTGROUP].[].[__NULL]","","(None)","","000")</f>
        <v>(None)</v>
      </c>
      <c r="F630" s="2" t="str">
        <f xml:space="preserve"> _xll.EPMOlapMemberO("[KEY_FIGURES].[].[CONFIRMEDPRODUCTION]","","Production Order","","000")</f>
        <v>Production Order</v>
      </c>
      <c r="AR630" s="2">
        <v>1132.5899999999999</v>
      </c>
      <c r="AV630" s="2">
        <v>449.5</v>
      </c>
      <c r="AZ630" s="2">
        <v>406</v>
      </c>
    </row>
    <row r="631" spans="1:52" x14ac:dyDescent="0.35">
      <c r="A631" s="2" t="str">
        <f xml:space="preserve"> _xll.EPMOlapMemberO("[LOCID].[].[Munich plant]","","Munich plant","","000")</f>
        <v>Munich plant</v>
      </c>
      <c r="B631" s="2" t="str">
        <f xml:space="preserve"> _xll.EPMOlapMemberO("[PRDID].[].[999-74898-0096]","","999-74898-0096","","000")</f>
        <v>999-74898-0096</v>
      </c>
      <c r="C631" s="2" t="str">
        <f xml:space="preserve"> _xll.EPMOlapMemberO("[BRAND].[].[ JPS]",""," JPS","","000")</f>
        <v xml:space="preserve"> JPS</v>
      </c>
      <c r="D631" s="2" t="str">
        <f xml:space="preserve"> _xll.EPMOlapMemberO("[AM2MARKETDESCR].[].[AUSTRIA]","","AUSTRIA","","000")</f>
        <v>AUSTRIA</v>
      </c>
      <c r="E631" s="2" t="str">
        <f xml:space="preserve"> _xll.EPMOlapMemberO("[AM2PARENTCUSTGROUP].[].[__NULL]","","(None)","","000")</f>
        <v>(None)</v>
      </c>
      <c r="F631" s="2" t="str">
        <f xml:space="preserve"> _xll.EPMOlapMemberO("[KEY_FIGURES].[].[INITIALINVENTORY]","","Stock","","000")</f>
        <v>Stock</v>
      </c>
      <c r="AQ631" s="2">
        <v>302.39999999999998</v>
      </c>
    </row>
    <row r="632" spans="1:52" x14ac:dyDescent="0.35">
      <c r="A632" s="2" t="str">
        <f xml:space="preserve"> _xll.EPMOlapMemberO("[LOCID].[].[Munich plant]","","Munich plant","","000")</f>
        <v>Munich plant</v>
      </c>
      <c r="B632" s="2" t="str">
        <f xml:space="preserve"> _xll.EPMOlapMemberO("[PRDID].[].[999-74898-0096]","","999-74898-0096","","000")</f>
        <v>999-74898-0096</v>
      </c>
      <c r="C632" s="2" t="str">
        <f xml:space="preserve"> _xll.EPMOlapMemberO("[BRAND].[].[ JPS]",""," JPS","","000")</f>
        <v xml:space="preserve"> JPS</v>
      </c>
      <c r="D632" s="2" t="str">
        <f xml:space="preserve"> _xll.EPMOlapMemberO("[AM2MARKETDESCR].[].[AUSTRIA]","","AUSTRIA","","000")</f>
        <v>AUSTRIA</v>
      </c>
      <c r="E632" s="2" t="str">
        <f xml:space="preserve"> _xll.EPMOlapMemberO("[AM2PARENTCUSTGROUP].[].[__NULL]","","(None)","","000")</f>
        <v>(None)</v>
      </c>
      <c r="F632" s="2" t="str">
        <f xml:space="preserve"> _xll.EPMOlapMemberO("[KEY_FIGURES].[].[CONFIRMEDPRODUCTION]","","Production Order","","000")</f>
        <v>Production Order</v>
      </c>
      <c r="AT632" s="2">
        <v>768.5</v>
      </c>
      <c r="AW632" s="2">
        <v>942.5</v>
      </c>
      <c r="AZ632" s="2">
        <v>797.5</v>
      </c>
    </row>
    <row r="633" spans="1:52" x14ac:dyDescent="0.35">
      <c r="A633" s="2" t="str">
        <f xml:space="preserve"> _xll.EPMOlapMemberO("[LOCID].[].[Munich plant]","","Munich plant","","000")</f>
        <v>Munich plant</v>
      </c>
      <c r="B633" s="2" t="str">
        <f xml:space="preserve"> _xll.EPMOlapMemberO("[PRDID].[].[999-74898-0097]","","999-74898-0097","","000")</f>
        <v>999-74898-0097</v>
      </c>
      <c r="C633" s="2" t="str">
        <f xml:space="preserve"> _xll.EPMOlapMemberO("[BRAND].[].[ JPS]",""," JPS","","000")</f>
        <v xml:space="preserve"> JPS</v>
      </c>
      <c r="D633" s="2" t="str">
        <f xml:space="preserve"> _xll.EPMOlapMemberO("[AM2MARKETDESCR].[].[AUSTRIA]","","AUSTRIA","","000")</f>
        <v>AUSTRIA</v>
      </c>
      <c r="E633" s="2" t="str">
        <f xml:space="preserve"> _xll.EPMOlapMemberO("[AM2PARENTCUSTGROUP].[].[__NULL]","","(None)","","000")</f>
        <v>(None)</v>
      </c>
      <c r="F633" s="2" t="str">
        <f xml:space="preserve"> _xll.EPMOlapMemberO("[KEY_FIGURES].[].[INITIALINVENTORY]","","Stock","","000")</f>
        <v>Stock</v>
      </c>
      <c r="AQ633" s="2">
        <v>1310.4000000000001</v>
      </c>
    </row>
    <row r="634" spans="1:52" x14ac:dyDescent="0.35">
      <c r="A634" s="2" t="str">
        <f xml:space="preserve"> _xll.EPMOlapMemberO("[LOCID].[].[Munich plant]","","Munich plant","","000")</f>
        <v>Munich plant</v>
      </c>
      <c r="B634" s="2" t="str">
        <f xml:space="preserve"> _xll.EPMOlapMemberO("[PRDID].[].[999-74898-0097]","","999-74898-0097","","000")</f>
        <v>999-74898-0097</v>
      </c>
      <c r="C634" s="2" t="str">
        <f xml:space="preserve"> _xll.EPMOlapMemberO("[BRAND].[].[ JPS]",""," JPS","","000")</f>
        <v xml:space="preserve"> JPS</v>
      </c>
      <c r="D634" s="2" t="str">
        <f xml:space="preserve"> _xll.EPMOlapMemberO("[AM2MARKETDESCR].[].[AUSTRIA]","","AUSTRIA","","000")</f>
        <v>AUSTRIA</v>
      </c>
      <c r="E634" s="2" t="str">
        <f xml:space="preserve"> _xll.EPMOlapMemberO("[AM2PARENTCUSTGROUP].[].[__NULL]","","(None)","","000")</f>
        <v>(None)</v>
      </c>
      <c r="F634" s="2" t="str">
        <f xml:space="preserve"> _xll.EPMOlapMemberO("[KEY_FIGURES].[].[CONFIRMEDPRODUCTION]","","Production Order","","000")</f>
        <v>Production Order</v>
      </c>
      <c r="AS634" s="2">
        <v>1247</v>
      </c>
      <c r="AV634" s="2">
        <v>2291</v>
      </c>
      <c r="AY634" s="2">
        <v>2189.5</v>
      </c>
    </row>
    <row r="635" spans="1:52" x14ac:dyDescent="0.35">
      <c r="A635" s="2" t="str">
        <f xml:space="preserve"> _xll.EPMOlapMemberO("[LOCID].[].[Munich plant]","","Munich plant","","000")</f>
        <v>Munich plant</v>
      </c>
      <c r="B635" s="2" t="str">
        <f xml:space="preserve"> _xll.EPMOlapMemberO("[PRDID].[].[999-74898-0098]","","999-74898-0098","","000")</f>
        <v>999-74898-0098</v>
      </c>
      <c r="C635" s="2" t="str">
        <f xml:space="preserve"> _xll.EPMOlapMemberO("[BRAND].[].[ JPS]",""," JPS","","000")</f>
        <v xml:space="preserve"> JPS</v>
      </c>
      <c r="D635" s="2" t="str">
        <f xml:space="preserve"> _xll.EPMOlapMemberO("[AM2MARKETDESCR].[].[AUSTRIA]","","AUSTRIA","","000")</f>
        <v>AUSTRIA</v>
      </c>
      <c r="E635" s="2" t="str">
        <f xml:space="preserve"> _xll.EPMOlapMemberO("[AM2PARENTCUSTGROUP].[].[__NULL]","","(None)","","000")</f>
        <v>(None)</v>
      </c>
      <c r="F635" s="2" t="str">
        <f xml:space="preserve"> _xll.EPMOlapMemberO("[KEY_FIGURES].[].[INITIALINVENTORY]","","Stock","","000")</f>
        <v>Stock</v>
      </c>
      <c r="AQ635" s="2">
        <v>504</v>
      </c>
    </row>
    <row r="636" spans="1:52" x14ac:dyDescent="0.35">
      <c r="A636" s="2" t="str">
        <f xml:space="preserve"> _xll.EPMOlapMemberO("[LOCID].[].[Munich plant]","","Munich plant","","000")</f>
        <v>Munich plant</v>
      </c>
      <c r="B636" s="2" t="str">
        <f xml:space="preserve"> _xll.EPMOlapMemberO("[PRDID].[].[999-74898-0098]","","999-74898-0098","","000")</f>
        <v>999-74898-0098</v>
      </c>
      <c r="C636" s="2" t="str">
        <f xml:space="preserve"> _xll.EPMOlapMemberO("[BRAND].[].[ JPS]",""," JPS","","000")</f>
        <v xml:space="preserve"> JPS</v>
      </c>
      <c r="D636" s="2" t="str">
        <f xml:space="preserve"> _xll.EPMOlapMemberO("[AM2MARKETDESCR].[].[AUSTRIA]","","AUSTRIA","","000")</f>
        <v>AUSTRIA</v>
      </c>
      <c r="E636" s="2" t="str">
        <f xml:space="preserve"> _xll.EPMOlapMemberO("[AM2PARENTCUSTGROUP].[].[__NULL]","","(None)","","000")</f>
        <v>(None)</v>
      </c>
      <c r="F636" s="2" t="str">
        <f xml:space="preserve"> _xll.EPMOlapMemberO("[KEY_FIGURES].[].[CONFIRMEDPRODUCTION]","","Production Order","","000")</f>
        <v>Production Order</v>
      </c>
      <c r="AU636" s="2">
        <v>609</v>
      </c>
      <c r="AY636" s="2">
        <v>478.5</v>
      </c>
    </row>
    <row r="637" spans="1:52" x14ac:dyDescent="0.35">
      <c r="A637" s="2" t="str">
        <f xml:space="preserve"> _xll.EPMOlapMemberO("[LOCID].[].[Munich plant]","","Munich plant","","000")</f>
        <v>Munich plant</v>
      </c>
      <c r="B637" s="2" t="str">
        <f xml:space="preserve"> _xll.EPMOlapMemberO("[PRDID].[].[999-74899-0007]","","999-74899-0007","","000")</f>
        <v>999-74899-0007</v>
      </c>
      <c r="C637" s="2" t="str">
        <f xml:space="preserve"> _xll.EPMOlapMemberO("[BRAND].[].[ JPS]",""," JPS","","000")</f>
        <v xml:space="preserve"> JPS</v>
      </c>
      <c r="D637" s="2" t="str">
        <f xml:space="preserve"> _xll.EPMOlapMemberO("[AM2MARKETDESCR].[].[PORTUGAL]","","PORTUGAL","","000")</f>
        <v>PORTUGAL</v>
      </c>
      <c r="E637" s="2" t="str">
        <f xml:space="preserve"> _xll.EPMOlapMemberO("[AM2PARENTCUSTGROUP].[].[__NULL]","","(None)","","000")</f>
        <v>(None)</v>
      </c>
      <c r="F637" s="2" t="str">
        <f xml:space="preserve"> _xll.EPMOlapMemberO("[KEY_FIGURES].[].[CONFIRMEDPRODUCTION]","","Production Order","","000")</f>
        <v>Production Order</v>
      </c>
      <c r="AR637" s="2">
        <v>3573.7910000000002</v>
      </c>
      <c r="AU637" s="2">
        <v>1210.9090000000001</v>
      </c>
      <c r="AX637" s="2">
        <v>1186.364</v>
      </c>
    </row>
    <row r="638" spans="1:52" x14ac:dyDescent="0.35">
      <c r="A638" s="2" t="str">
        <f xml:space="preserve"> _xll.EPMOlapMemberO("[LOCID].[].[Munich plant]","","Munich plant","","000")</f>
        <v>Munich plant</v>
      </c>
      <c r="B638" s="2" t="str">
        <f xml:space="preserve"> _xll.EPMOlapMemberO("[PRDID].[].[999-74901-0022]","","999-74901-0022","","000")</f>
        <v>999-74901-0022</v>
      </c>
      <c r="C638" s="2" t="str">
        <f xml:space="preserve"> _xll.EPMOlapMemberO("[BRAND].[].[ JPS]",""," JPS","","000")</f>
        <v xml:space="preserve"> JPS</v>
      </c>
      <c r="D638" s="2" t="str">
        <f xml:space="preserve"> _xll.EPMOlapMemberO("[AM2MARKETDESCR].[].[LUXEMBURG]","","LUXEMBURG","","000")</f>
        <v>LUXEMBURG</v>
      </c>
      <c r="E638" s="2" t="str">
        <f xml:space="preserve"> _xll.EPMOlapMemberO("[AM2PARENTCUSTGROUP].[].[__NULL]","","(None)","","000")</f>
        <v>(None)</v>
      </c>
      <c r="F638" s="2" t="str">
        <f xml:space="preserve"> _xll.EPMOlapMemberO("[KEY_FIGURES].[].[INITIALINVENTORY]","","Stock","","000")</f>
        <v>Stock</v>
      </c>
      <c r="AQ638" s="2">
        <v>84</v>
      </c>
    </row>
    <row r="639" spans="1:52" x14ac:dyDescent="0.35">
      <c r="A639" s="2" t="str">
        <f xml:space="preserve"> _xll.EPMOlapMemberO("[LOCID].[].[Munich plant]","","Munich plant","","000")</f>
        <v>Munich plant</v>
      </c>
      <c r="B639" s="2" t="str">
        <f xml:space="preserve"> _xll.EPMOlapMemberO("[PRDID].[].[999-74901-0022]","","999-74901-0022","","000")</f>
        <v>999-74901-0022</v>
      </c>
      <c r="C639" s="2" t="str">
        <f xml:space="preserve"> _xll.EPMOlapMemberO("[BRAND].[].[ JPS]",""," JPS","","000")</f>
        <v xml:space="preserve"> JPS</v>
      </c>
      <c r="D639" s="2" t="str">
        <f xml:space="preserve"> _xll.EPMOlapMemberO("[AM2MARKETDESCR].[].[LUXEMBURG]","","LUXEMBURG","","000")</f>
        <v>LUXEMBURG</v>
      </c>
      <c r="E639" s="2" t="str">
        <f xml:space="preserve"> _xll.EPMOlapMemberO("[AM2PARENTCUSTGROUP].[].[__NULL]","","(None)","","000")</f>
        <v>(None)</v>
      </c>
      <c r="F639" s="2" t="str">
        <f xml:space="preserve"> _xll.EPMOlapMemberO("[KEY_FIGURES].[].[CONFIRMEDPRODUCTION]","","Production Order","","000")</f>
        <v>Production Order</v>
      </c>
      <c r="AU639" s="2">
        <v>356.4</v>
      </c>
      <c r="AX639" s="2">
        <v>388.8</v>
      </c>
    </row>
    <row r="640" spans="1:52" x14ac:dyDescent="0.35">
      <c r="A640" s="2" t="str">
        <f xml:space="preserve"> _xll.EPMOlapMemberO("[LOCID].[].[Munich plant]","","Munich plant","","000")</f>
        <v>Munich plant</v>
      </c>
      <c r="B640" s="2" t="str">
        <f xml:space="preserve"> _xll.EPMOlapMemberO("[PRDID].[].[999-74901-0023]","","999-74901-0023","","000")</f>
        <v>999-74901-0023</v>
      </c>
      <c r="C640" s="2" t="str">
        <f xml:space="preserve"> _xll.EPMOlapMemberO("[BRAND].[].[ JPS]",""," JPS","","000")</f>
        <v xml:space="preserve"> JPS</v>
      </c>
      <c r="D640" s="2" t="str">
        <f xml:space="preserve"> _xll.EPMOlapMemberO("[AM2MARKETDESCR].[].[LUXEMBURG]","","LUXEMBURG","","000")</f>
        <v>LUXEMBURG</v>
      </c>
      <c r="E640" s="2" t="str">
        <f xml:space="preserve"> _xll.EPMOlapMemberO("[AM2PARENTCUSTGROUP].[].[__NULL]","","(None)","","000")</f>
        <v>(None)</v>
      </c>
      <c r="F640" s="2" t="str">
        <f xml:space="preserve"> _xll.EPMOlapMemberO("[KEY_FIGURES].[].[CONFIRMEDPRODUCTION]","","Production Order","","000")</f>
        <v>Production Order</v>
      </c>
      <c r="AR640" s="2">
        <v>168</v>
      </c>
      <c r="AU640" s="2">
        <v>129.6</v>
      </c>
      <c r="AX640" s="2">
        <v>140.4</v>
      </c>
    </row>
    <row r="641" spans="1:52" x14ac:dyDescent="0.35">
      <c r="A641" s="2" t="str">
        <f xml:space="preserve"> _xll.EPMOlapMemberO("[LOCID].[].[Munich plant]","","Munich plant","","000")</f>
        <v>Munich plant</v>
      </c>
      <c r="B641" s="2" t="str">
        <f xml:space="preserve"> _xll.EPMOlapMemberO("[PRDID].[].[999-74901-0024]","","999-74901-0024","","000")</f>
        <v>999-74901-0024</v>
      </c>
      <c r="C641" s="2" t="str">
        <f xml:space="preserve"> _xll.EPMOlapMemberO("[BRAND].[].[ JPS]",""," JPS","","000")</f>
        <v xml:space="preserve"> JPS</v>
      </c>
      <c r="D641" s="2" t="str">
        <f xml:space="preserve"> _xll.EPMOlapMemberO("[AM2MARKETDESCR].[].[SPAIN]","","SPAIN","","000")</f>
        <v>SPAIN</v>
      </c>
      <c r="E641" s="2" t="str">
        <f xml:space="preserve"> _xll.EPMOlapMemberO("[AM2PARENTCUSTGROUP].[].[__NULL]","","(None)","","000")</f>
        <v>(None)</v>
      </c>
      <c r="F641" s="2" t="str">
        <f xml:space="preserve"> _xll.EPMOlapMemberO("[KEY_FIGURES].[].[INITIALINVENTORY]","","Stock","","000")</f>
        <v>Stock</v>
      </c>
      <c r="AQ641" s="2">
        <v>168</v>
      </c>
    </row>
    <row r="642" spans="1:52" x14ac:dyDescent="0.35">
      <c r="A642" s="2" t="str">
        <f xml:space="preserve"> _xll.EPMOlapMemberO("[LOCID].[].[Munich plant]","","Munich plant","","000")</f>
        <v>Munich plant</v>
      </c>
      <c r="B642" s="2" t="str">
        <f xml:space="preserve"> _xll.EPMOlapMemberO("[PRDID].[].[999-74901-0024]","","999-74901-0024","","000")</f>
        <v>999-74901-0024</v>
      </c>
      <c r="C642" s="2" t="str">
        <f xml:space="preserve"> _xll.EPMOlapMemberO("[BRAND].[].[ JPS]",""," JPS","","000")</f>
        <v xml:space="preserve"> JPS</v>
      </c>
      <c r="D642" s="2" t="str">
        <f xml:space="preserve"> _xll.EPMOlapMemberO("[AM2MARKETDESCR].[].[SPAIN]","","SPAIN","","000")</f>
        <v>SPAIN</v>
      </c>
      <c r="E642" s="2" t="str">
        <f xml:space="preserve"> _xll.EPMOlapMemberO("[AM2PARENTCUSTGROUP].[].[__NULL]","","(None)","","000")</f>
        <v>(None)</v>
      </c>
      <c r="F642" s="2" t="str">
        <f xml:space="preserve"> _xll.EPMOlapMemberO("[KEY_FIGURES].[].[CONFIRMEDPRODUCTION]","","Production Order","","000")</f>
        <v>Production Order</v>
      </c>
      <c r="AS642" s="2">
        <v>78.75</v>
      </c>
      <c r="AU642" s="2">
        <v>101.25</v>
      </c>
      <c r="AW642" s="2">
        <v>157.5</v>
      </c>
      <c r="AY642" s="2">
        <v>191.25</v>
      </c>
    </row>
    <row r="643" spans="1:52" x14ac:dyDescent="0.35">
      <c r="A643" s="2" t="str">
        <f xml:space="preserve"> _xll.EPMOlapMemberO("[LOCID].[].[Munich plant]","","Munich plant","","000")</f>
        <v>Munich plant</v>
      </c>
      <c r="B643" s="2" t="str">
        <f xml:space="preserve"> _xll.EPMOlapMemberO("[PRDID].[].[999-74901-0025]","","999-74901-0025","","000")</f>
        <v>999-74901-0025</v>
      </c>
      <c r="C643" s="2" t="str">
        <f xml:space="preserve"> _xll.EPMOlapMemberO("[BRAND].[].[ JPS]",""," JPS","","000")</f>
        <v xml:space="preserve"> JPS</v>
      </c>
      <c r="D643" s="2" t="str">
        <f xml:space="preserve"> _xll.EPMOlapMemberO("[AM2MARKETDESCR].[].[SPAIN]","","SPAIN","","000")</f>
        <v>SPAIN</v>
      </c>
      <c r="E643" s="2" t="str">
        <f xml:space="preserve"> _xll.EPMOlapMemberO("[AM2PARENTCUSTGROUP].[].[__NULL]","","(None)","","000")</f>
        <v>(None)</v>
      </c>
      <c r="F643" s="2" t="str">
        <f xml:space="preserve"> _xll.EPMOlapMemberO("[KEY_FIGURES].[].[CONFIRMEDPRODUCTION]","","Production Order","","000")</f>
        <v>Production Order</v>
      </c>
      <c r="AS643" s="2">
        <v>168</v>
      </c>
      <c r="AU643" s="2">
        <v>33.75</v>
      </c>
      <c r="AX643" s="2">
        <v>22.5</v>
      </c>
    </row>
    <row r="644" spans="1:52" x14ac:dyDescent="0.35">
      <c r="A644" s="2" t="str">
        <f xml:space="preserve"> _xll.EPMOlapMemberO("[LOCID].[].[Munich plant]","","Munich plant","","000")</f>
        <v>Munich plant</v>
      </c>
      <c r="B644" s="2" t="str">
        <f xml:space="preserve"> _xll.EPMOlapMemberO("[PRDID].[].[999-74901-0027]","","999-74901-0027","","000")</f>
        <v>999-74901-0027</v>
      </c>
      <c r="C644" s="2" t="str">
        <f xml:space="preserve"> _xll.EPMOlapMemberO("[BRAND].[].[ JPS]",""," JPS","","000")</f>
        <v xml:space="preserve"> JPS</v>
      </c>
      <c r="D644" s="2" t="str">
        <f xml:space="preserve"> _xll.EPMOlapMemberO("[AM2MARKETDESCR].[].[AUSTRIA]","","AUSTRIA","","000")</f>
        <v>AUSTRIA</v>
      </c>
      <c r="E644" s="2" t="str">
        <f xml:space="preserve"> _xll.EPMOlapMemberO("[AM2PARENTCUSTGROUP].[].[__NULL]","","(None)","","000")</f>
        <v>(None)</v>
      </c>
      <c r="F644" s="2" t="str">
        <f xml:space="preserve"> _xll.EPMOlapMemberO("[KEY_FIGURES].[].[INITIALINVENTORY]","","Stock","","000")</f>
        <v>Stock</v>
      </c>
      <c r="AQ644" s="2">
        <v>168</v>
      </c>
    </row>
    <row r="645" spans="1:52" x14ac:dyDescent="0.35">
      <c r="A645" s="2" t="str">
        <f xml:space="preserve"> _xll.EPMOlapMemberO("[LOCID].[].[Munich plant]","","Munich plant","","000")</f>
        <v>Munich plant</v>
      </c>
      <c r="B645" s="2" t="str">
        <f xml:space="preserve"> _xll.EPMOlapMemberO("[PRDID].[].[999-74901-0027]","","999-74901-0027","","000")</f>
        <v>999-74901-0027</v>
      </c>
      <c r="C645" s="2" t="str">
        <f xml:space="preserve"> _xll.EPMOlapMemberO("[BRAND].[].[ JPS]",""," JPS","","000")</f>
        <v xml:space="preserve"> JPS</v>
      </c>
      <c r="D645" s="2" t="str">
        <f xml:space="preserve"> _xll.EPMOlapMemberO("[AM2MARKETDESCR].[].[AUSTRIA]","","AUSTRIA","","000")</f>
        <v>AUSTRIA</v>
      </c>
      <c r="E645" s="2" t="str">
        <f xml:space="preserve"> _xll.EPMOlapMemberO("[AM2PARENTCUSTGROUP].[].[__NULL]","","(None)","","000")</f>
        <v>(None)</v>
      </c>
      <c r="F645" s="2" t="str">
        <f xml:space="preserve"> _xll.EPMOlapMemberO("[KEY_FIGURES].[].[CONFIRMEDPRODUCTION]","","Production Order","","000")</f>
        <v>Production Order</v>
      </c>
      <c r="AS645" s="2">
        <v>164.34800000000001</v>
      </c>
      <c r="AW645" s="2">
        <v>305.21699999999998</v>
      </c>
    </row>
    <row r="646" spans="1:52" x14ac:dyDescent="0.35">
      <c r="A646" s="2" t="str">
        <f xml:space="preserve"> _xll.EPMOlapMemberO("[LOCID].[].[Munich plant]","","Munich plant","","000")</f>
        <v>Munich plant</v>
      </c>
      <c r="B646" s="2" t="str">
        <f xml:space="preserve"> _xll.EPMOlapMemberO("[PRDID].[].[999-75074-0013]","","999-75074-0013","","000")</f>
        <v>999-75074-0013</v>
      </c>
      <c r="C646" s="2" t="str">
        <f xml:space="preserve"> _xll.EPMOlapMemberO("[BRAND].[].[ PLAIN PACKAGING]",""," PLAIN PACKAGING","","000")</f>
        <v xml:space="preserve"> PLAIN PACKAGING</v>
      </c>
      <c r="D646" s="2" t="str">
        <f xml:space="preserve"> _xll.EPMOlapMemberO("[AM2MARKETDESCR].[].[BELGIUM]","","BELGIUM","","000")</f>
        <v>BELGIUM</v>
      </c>
      <c r="E646" s="2" t="str">
        <f xml:space="preserve"> _xll.EPMOlapMemberO("[AM2PARENTCUSTGROUP].[].[__NULL]","","(None)","","000")</f>
        <v>(None)</v>
      </c>
      <c r="F646" s="2" t="str">
        <f xml:space="preserve"> _xll.EPMOlapMemberO("[KEY_FIGURES].[].[CONFIRMEDPRODUCTION]","","Production Order","","000")</f>
        <v>Production Order</v>
      </c>
      <c r="AV646" s="2">
        <v>100</v>
      </c>
      <c r="AY646" s="2">
        <v>105</v>
      </c>
    </row>
    <row r="647" spans="1:52" x14ac:dyDescent="0.35">
      <c r="A647" s="2" t="str">
        <f xml:space="preserve"> _xll.EPMOlapMemberO("[LOCID].[].[Munich plant]","","Munich plant","","000")</f>
        <v>Munich plant</v>
      </c>
      <c r="B647" s="2" t="str">
        <f xml:space="preserve"> _xll.EPMOlapMemberO("[PRDID].[].[999-75074-0014]","","999-75074-0014","","000")</f>
        <v>999-75074-0014</v>
      </c>
      <c r="C647" s="2" t="str">
        <f xml:space="preserve"> _xll.EPMOlapMemberO("[BRAND].[].[ PLAIN PACKAGING]",""," PLAIN PACKAGING","","000")</f>
        <v xml:space="preserve"> PLAIN PACKAGING</v>
      </c>
      <c r="D647" s="2" t="str">
        <f xml:space="preserve"> _xll.EPMOlapMemberO("[AM2MARKETDESCR].[].[NETHERLANDS]","","NETHERLANDS","","000")</f>
        <v>NETHERLANDS</v>
      </c>
      <c r="E647" s="2" t="str">
        <f xml:space="preserve"> _xll.EPMOlapMemberO("[AM2PARENTCUSTGROUP].[].[__NULL]","","(None)","","000")</f>
        <v>(None)</v>
      </c>
      <c r="F647" s="2" t="str">
        <f xml:space="preserve"> _xll.EPMOlapMemberO("[KEY_FIGURES].[].[CONFIRMEDPRODUCTION]","","Production Order","","000")</f>
        <v>Production Order</v>
      </c>
      <c r="AW647" s="2">
        <v>120</v>
      </c>
      <c r="AZ647" s="2">
        <v>161.667</v>
      </c>
    </row>
    <row r="648" spans="1:52" x14ac:dyDescent="0.35">
      <c r="A648" s="2" t="str">
        <f xml:space="preserve"> _xll.EPMOlapMemberO("[LOCID].[].[Munich plant]","","Munich plant","","000")</f>
        <v>Munich plant</v>
      </c>
      <c r="B648" s="2" t="str">
        <f xml:space="preserve"> _xll.EPMOlapMemberO("[PRDID].[].[999-75074-0015]","","999-75074-0015","","000")</f>
        <v>999-75074-0015</v>
      </c>
      <c r="C648" s="2" t="str">
        <f xml:space="preserve"> _xll.EPMOlapMemberO("[BRAND].[].[ PLAIN PACKAGING]",""," PLAIN PACKAGING","","000")</f>
        <v xml:space="preserve"> PLAIN PACKAGING</v>
      </c>
      <c r="D648" s="2" t="str">
        <f xml:space="preserve"> _xll.EPMOlapMemberO("[AM2MARKETDESCR].[].[NETHERLANDS]","","NETHERLANDS","","000")</f>
        <v>NETHERLANDS</v>
      </c>
      <c r="E648" s="2" t="str">
        <f xml:space="preserve"> _xll.EPMOlapMemberO("[AM2PARENTCUSTGROUP].[].[__NULL]","","(None)","","000")</f>
        <v>(None)</v>
      </c>
      <c r="F648" s="2" t="str">
        <f xml:space="preserve"> _xll.EPMOlapMemberO("[KEY_FIGURES].[].[CONFIRMEDPRODUCTION]","","Production Order","","000")</f>
        <v>Production Order</v>
      </c>
      <c r="AS648" s="2">
        <v>192</v>
      </c>
      <c r="AW648" s="2">
        <v>178.18199999999999</v>
      </c>
      <c r="AZ648" s="2">
        <v>267.27300000000002</v>
      </c>
    </row>
    <row r="649" spans="1:52" x14ac:dyDescent="0.35">
      <c r="A649" s="2" t="str">
        <f xml:space="preserve"> _xll.EPMOlapMemberO("[LOCID].[].[Munich plant]","","Munich plant","","000")</f>
        <v>Munich plant</v>
      </c>
      <c r="B649" s="2" t="str">
        <f xml:space="preserve"> _xll.EPMOlapMemberO("[PRDID].[].[999-75074-0016]","","999-75074-0016","","000")</f>
        <v>999-75074-0016</v>
      </c>
      <c r="C649" s="2" t="str">
        <f xml:space="preserve"> _xll.EPMOlapMemberO("[BRAND].[].[ PLAIN PACKAGING]",""," PLAIN PACKAGING","","000")</f>
        <v xml:space="preserve"> PLAIN PACKAGING</v>
      </c>
      <c r="D649" s="2" t="str">
        <f xml:space="preserve"> _xll.EPMOlapMemberO("[AM2MARKETDESCR].[].[NETHERLANDS]","","NETHERLANDS","","000")</f>
        <v>NETHERLANDS</v>
      </c>
      <c r="E649" s="2" t="str">
        <f xml:space="preserve"> _xll.EPMOlapMemberO("[AM2PARENTCUSTGROUP].[].[__NULL]","","(None)","","000")</f>
        <v>(None)</v>
      </c>
      <c r="F649" s="2" t="str">
        <f xml:space="preserve"> _xll.EPMOlapMemberO("[KEY_FIGURES].[].[CONFIRMEDPRODUCTION]","","Production Order","","000")</f>
        <v>Production Order</v>
      </c>
      <c r="AU649" s="2">
        <v>36.363999999999997</v>
      </c>
      <c r="AY649" s="2">
        <v>132.727</v>
      </c>
    </row>
    <row r="650" spans="1:52" x14ac:dyDescent="0.35">
      <c r="A650" s="2" t="str">
        <f xml:space="preserve"> _xll.EPMOlapMemberO("[LOCID].[].[Munich plant]","","Munich plant","","000")</f>
        <v>Munich plant</v>
      </c>
      <c r="B650" s="2" t="str">
        <f xml:space="preserve"> _xll.EPMOlapMemberO("[PRDID].[].[999-75159-0007]","","999-75159-0007","","000")</f>
        <v>999-75159-0007</v>
      </c>
      <c r="C650" s="2" t="str">
        <f xml:space="preserve"> _xll.EPMOlapMemberO("[BRAND].[].[ FORTUNA]",""," FORTUNA","","000")</f>
        <v xml:space="preserve"> FORTUNA</v>
      </c>
      <c r="D650" s="2" t="str">
        <f xml:space="preserve"> _xll.EPMOlapMemberO("[AM2MARKETDESCR].[].[LUXEMBURG]","","LUXEMBURG","","000")</f>
        <v>LUXEMBURG</v>
      </c>
      <c r="E650" s="2" t="str">
        <f xml:space="preserve"> _xll.EPMOlapMemberO("[AM2PARENTCUSTGROUP].[].[__NULL]","","(None)","","000")</f>
        <v>(None)</v>
      </c>
      <c r="F650" s="2" t="str">
        <f xml:space="preserve"> _xll.EPMOlapMemberO("[KEY_FIGURES].[].[CONFIRMEDPRODUCTION]","","Production Order","","000")</f>
        <v>Production Order</v>
      </c>
      <c r="AW650" s="2">
        <v>20</v>
      </c>
      <c r="AZ650" s="2">
        <v>22</v>
      </c>
    </row>
    <row r="651" spans="1:52" x14ac:dyDescent="0.35">
      <c r="A651" s="2" t="str">
        <f xml:space="preserve"> _xll.EPMOlapMemberO("[LOCID].[].[Munich plant]","","Munich plant","","000")</f>
        <v>Munich plant</v>
      </c>
      <c r="B651" s="2" t="str">
        <f xml:space="preserve"> _xll.EPMOlapMemberO("[PRDID].[].[999-75159-0008]","","999-75159-0008","","000")</f>
        <v>999-75159-0008</v>
      </c>
      <c r="C651" s="2" t="str">
        <f xml:space="preserve"> _xll.EPMOlapMemberO("[BRAND].[].[ FORTUNA]",""," FORTUNA","","000")</f>
        <v xml:space="preserve"> FORTUNA</v>
      </c>
      <c r="D651" s="2" t="str">
        <f xml:space="preserve"> _xll.EPMOlapMemberO("[AM2MARKETDESCR].[].[SPAIN]","","SPAIN","","000")</f>
        <v>SPAIN</v>
      </c>
      <c r="E651" s="2" t="str">
        <f xml:space="preserve"> _xll.EPMOlapMemberO("[AM2PARENTCUSTGROUP].[].[__NULL]","","(None)","","000")</f>
        <v>(None)</v>
      </c>
      <c r="F651" s="2" t="str">
        <f xml:space="preserve"> _xll.EPMOlapMemberO("[KEY_FIGURES].[].[CONFIRMEDPRODUCTION]","","Production Order","","000")</f>
        <v>Production Order</v>
      </c>
      <c r="AS651" s="2">
        <v>720</v>
      </c>
      <c r="AT651" s="2">
        <v>795.53300000000002</v>
      </c>
      <c r="AW651" s="2">
        <v>315.21699999999998</v>
      </c>
      <c r="AX651" s="2">
        <v>1128.261</v>
      </c>
      <c r="AZ651" s="2">
        <v>476.08699999999999</v>
      </c>
    </row>
    <row r="652" spans="1:52" x14ac:dyDescent="0.35">
      <c r="A652" s="2" t="str">
        <f xml:space="preserve"> _xll.EPMOlapMemberO("[LOCID].[].[Munich plant]","","Munich plant","","000")</f>
        <v>Munich plant</v>
      </c>
      <c r="B652" s="2" t="str">
        <f xml:space="preserve"> _xll.EPMOlapMemberO("[PRDID].[].[999-75325-0003]","","999-75325-0003","","000")</f>
        <v>999-75325-0003</v>
      </c>
      <c r="C652" s="2" t="str">
        <f xml:space="preserve"> _xll.EPMOlapMemberO("[BRAND].[].[ DUCADOS]",""," DUCADOS","","000")</f>
        <v xml:space="preserve"> DUCADOS</v>
      </c>
      <c r="D652" s="2" t="str">
        <f xml:space="preserve"> _xll.EPMOlapMemberO("[AM2MARKETDESCR].[].[SPAIN]","","SPAIN","","000")</f>
        <v>SPAIN</v>
      </c>
      <c r="E652" s="2" t="str">
        <f xml:space="preserve"> _xll.EPMOlapMemberO("[AM2PARENTCUSTGROUP].[].[__NULL]","","(None)","","000")</f>
        <v>(None)</v>
      </c>
      <c r="F652" s="2" t="str">
        <f xml:space="preserve"> _xll.EPMOlapMemberO("[KEY_FIGURES].[].[CONFIRMEDPRODUCTION]","","Production Order","","000")</f>
        <v>Production Order</v>
      </c>
      <c r="AR652" s="2">
        <v>2656.0390000000002</v>
      </c>
      <c r="AU652" s="2">
        <v>1006.364</v>
      </c>
      <c r="AW652" s="2">
        <v>2290.9090000000001</v>
      </c>
      <c r="AZ652" s="2">
        <v>1350</v>
      </c>
    </row>
    <row r="653" spans="1:52" x14ac:dyDescent="0.35">
      <c r="A653" s="2" t="str">
        <f xml:space="preserve"> _xll.EPMOlapMemberO("[LOCID].[].[Munich plant]","","Munich plant","","000")</f>
        <v>Munich plant</v>
      </c>
      <c r="B653" s="2" t="str">
        <f xml:space="preserve"> _xll.EPMOlapMemberO("[PRDID].[].[999-75701-0001]","","999-75701-0001","","000")</f>
        <v>999-75701-0001</v>
      </c>
      <c r="C653" s="2" t="str">
        <f xml:space="preserve"> _xll.EPMOlapMemberO("[BRAND].[].[ MARLBORO]",""," MARLBORO","","000")</f>
        <v xml:space="preserve"> MARLBORO</v>
      </c>
      <c r="D653" s="2" t="str">
        <f xml:space="preserve"> _xll.EPMOlapMemberO("[AM2MARKETDESCR].[].[FRANCE ESTIC]","","FRANCE ESTIC","","000")</f>
        <v>FRANCE ESTIC</v>
      </c>
      <c r="E653" s="2" t="str">
        <f xml:space="preserve"> _xll.EPMOlapMemberO("[AM2PARENTCUSTGROUP].[].[Mondelez]","","Mondelez","","000")</f>
        <v>Mondelez</v>
      </c>
      <c r="F653" s="2" t="str">
        <f xml:space="preserve"> _xll.EPMOlapMemberO("[KEY_FIGURES].[].[AM2ORDERINTAKE]","","Sales Order","","000")</f>
        <v>Sales Order</v>
      </c>
      <c r="N653" s="2">
        <v>288</v>
      </c>
      <c r="O653" s="2">
        <v>10600</v>
      </c>
    </row>
    <row r="654" spans="1:52" x14ac:dyDescent="0.35">
      <c r="A654" s="2" t="str">
        <f xml:space="preserve"> _xll.EPMOlapMemberO("[LOCID].[].[Munich plant]","","Munich plant","","000")</f>
        <v>Munich plant</v>
      </c>
      <c r="B654" s="2" t="str">
        <f xml:space="preserve"> _xll.EPMOlapMemberO("[PRDID].[].[999-75701-0001]","","999-75701-0001","","000")</f>
        <v>999-75701-0001</v>
      </c>
      <c r="C654" s="2" t="str">
        <f xml:space="preserve"> _xll.EPMOlapMemberO("[BRAND].[].[ MARLBORO]",""," MARLBORO","","000")</f>
        <v xml:space="preserve"> MARLBORO</v>
      </c>
      <c r="D654" s="2" t="str">
        <f xml:space="preserve"> _xll.EPMOlapMemberO("[AM2MARKETDESCR].[].[FRANCE ESTIC]","","FRANCE ESTIC","","000")</f>
        <v>FRANCE ESTIC</v>
      </c>
      <c r="E654" s="2" t="str">
        <f xml:space="preserve"> _xll.EPMOlapMemberO("[AM2PARENTCUSTGROUP].[].[Mondelez]","","Mondelez","","000")</f>
        <v>Mondelez</v>
      </c>
      <c r="F654" s="2" t="str">
        <f xml:space="preserve"> _xll.EPMOlapMemberO("[KEY_FIGURES].[].[AM2ACTUALSHIPMENTS]","","Shipments","","000")</f>
        <v>Shipments</v>
      </c>
      <c r="N654" s="2">
        <v>240</v>
      </c>
      <c r="O654" s="2">
        <v>4360</v>
      </c>
    </row>
    <row r="655" spans="1:52" x14ac:dyDescent="0.35">
      <c r="A655" s="2" t="str">
        <f xml:space="preserve"> _xll.EPMOlapMemberO("[LOCID].[].[Munich plant]","","Munich plant","","000")</f>
        <v>Munich plant</v>
      </c>
      <c r="B655" s="2" t="str">
        <f xml:space="preserve"> _xll.EPMOlapMemberO("[PRDID].[].[999-75849-0009]","","999-75849-0009","","000")</f>
        <v>999-75849-0009</v>
      </c>
      <c r="C655" s="2" t="str">
        <f xml:space="preserve"> _xll.EPMOlapMemberO("[BRAND].[].[ JPS]",""," JPS","","000")</f>
        <v xml:space="preserve"> JPS</v>
      </c>
      <c r="D655" s="2" t="str">
        <f xml:space="preserve"> _xll.EPMOlapMemberO("[AM2MARKETDESCR].[].[LUXEMBURG]","","LUXEMBURG","","000")</f>
        <v>LUXEMBURG</v>
      </c>
      <c r="E655" s="2" t="str">
        <f xml:space="preserve"> _xll.EPMOlapMemberO("[AM2PARENTCUSTGROUP].[].[__NULL]","","(None)","","000")</f>
        <v>(None)</v>
      </c>
      <c r="F655" s="2" t="str">
        <f xml:space="preserve"> _xll.EPMOlapMemberO("[KEY_FIGURES].[].[CONFIRMEDPRODUCTION]","","Production Order","","000")</f>
        <v>Production Order</v>
      </c>
      <c r="AS655" s="2">
        <v>120</v>
      </c>
      <c r="AW655" s="2">
        <v>84</v>
      </c>
      <c r="AZ655" s="2">
        <v>110</v>
      </c>
    </row>
    <row r="656" spans="1:52" x14ac:dyDescent="0.35">
      <c r="A656" s="2" t="str">
        <f xml:space="preserve"> _xll.EPMOlapMemberO("[LOCID].[].[Munich plant]","","Munich plant","","000")</f>
        <v>Munich plant</v>
      </c>
      <c r="B656" s="2" t="str">
        <f xml:space="preserve"> _xll.EPMOlapMemberO("[PRDID].[].[999-75956-0011]","","999-75956-0011","","000")</f>
        <v>999-75956-0011</v>
      </c>
      <c r="C656" s="2" t="str">
        <f xml:space="preserve"> _xll.EPMOlapMemberO("[BRAND].[].[ CAMEL]",""," CAMEL","","000")</f>
        <v xml:space="preserve"> CAMEL</v>
      </c>
      <c r="D656" s="2" t="str">
        <f xml:space="preserve"> _xll.EPMOlapMemberO("[AM2MARKETDESCR].[].[ROMANIA]","","ROMANIA","","000")</f>
        <v>ROMANIA</v>
      </c>
      <c r="E656" s="2" t="str">
        <f xml:space="preserve"> _xll.EPMOlapMemberO("[AM2PARENTCUSTGROUP].[].[__NULL]","","(None)","","000")</f>
        <v>(None)</v>
      </c>
      <c r="F656" s="2" t="str">
        <f xml:space="preserve"> _xll.EPMOlapMemberO("[KEY_FIGURES].[].[CONFIRMEDPRODUCTION]","","Production Order","","000")</f>
        <v>Production Order</v>
      </c>
      <c r="AR656" s="2">
        <v>5005.4399999999996</v>
      </c>
      <c r="AT656" s="2">
        <v>5000</v>
      </c>
      <c r="AV656" s="2">
        <v>5000</v>
      </c>
    </row>
    <row r="657" spans="1:52" x14ac:dyDescent="0.35">
      <c r="A657" s="2" t="str">
        <f xml:space="preserve"> _xll.EPMOlapMemberO("[LOCID].[].[Munich plant]","","Munich plant","","000")</f>
        <v>Munich plant</v>
      </c>
      <c r="B657" s="2" t="str">
        <f xml:space="preserve"> _xll.EPMOlapMemberO("[PRDID].[].[999-75956-0012]","","999-75956-0012","","000")</f>
        <v>999-75956-0012</v>
      </c>
      <c r="C657" s="2" t="str">
        <f xml:space="preserve"> _xll.EPMOlapMemberO("[BRAND].[].[ CAMEL]",""," CAMEL","","000")</f>
        <v xml:space="preserve"> CAMEL</v>
      </c>
      <c r="D657" s="2" t="str">
        <f xml:space="preserve"> _xll.EPMOlapMemberO("[AM2MARKETDESCR].[].[ROMANIA]","","ROMANIA","","000")</f>
        <v>ROMANIA</v>
      </c>
      <c r="E657" s="2" t="str">
        <f xml:space="preserve"> _xll.EPMOlapMemberO("[AM2PARENTCUSTGROUP].[].[__NULL]","","(None)","","000")</f>
        <v>(None)</v>
      </c>
      <c r="F657" s="2" t="str">
        <f xml:space="preserve"> _xll.EPMOlapMemberO("[KEY_FIGURES].[].[CONFIRMEDPRODUCTION]","","Production Order","","000")</f>
        <v>Production Order</v>
      </c>
      <c r="AS657" s="2">
        <v>5068.8</v>
      </c>
      <c r="AU657" s="2">
        <v>5000</v>
      </c>
    </row>
    <row r="658" spans="1:52" x14ac:dyDescent="0.35">
      <c r="A658" s="2" t="str">
        <f xml:space="preserve"> _xll.EPMOlapMemberO("[LOCID].[].[Munich plant]","","Munich plant","","000")</f>
        <v>Munich plant</v>
      </c>
      <c r="B658" s="2" t="str">
        <f xml:space="preserve"> _xll.EPMOlapMemberO("[PRDID].[].[999-75974-0005]","","999-75974-0005","","000")</f>
        <v>999-75974-0005</v>
      </c>
      <c r="C658" s="2" t="str">
        <f xml:space="preserve"> _xll.EPMOlapMemberO("[BRAND].[].[ GAULOISES BLONDES]",""," GAULOISES BLONDES","","000")</f>
        <v xml:space="preserve"> GAULOISES BLONDES</v>
      </c>
      <c r="D658" s="2" t="str">
        <f xml:space="preserve"> _xll.EPMOlapMemberO("[AM2MARKETDESCR].[].[GERMANY]","","GERMANY","","000")</f>
        <v>GERMANY</v>
      </c>
      <c r="E658" s="2" t="str">
        <f xml:space="preserve"> _xll.EPMOlapMemberO("[AM2PARENTCUSTGROUP].[].[__NULL]","","(None)","","000")</f>
        <v>(None)</v>
      </c>
      <c r="F658" s="2" t="str">
        <f xml:space="preserve"> _xll.EPMOlapMemberO("[KEY_FIGURES].[].[CONFIRMEDPRODUCTION]","","Production Order","","000")</f>
        <v>Production Order</v>
      </c>
      <c r="AS658" s="2">
        <v>912</v>
      </c>
      <c r="AV658" s="2">
        <v>580.83299999999997</v>
      </c>
      <c r="AX658" s="2">
        <v>366.66699999999997</v>
      </c>
    </row>
    <row r="659" spans="1:52" x14ac:dyDescent="0.35">
      <c r="A659" s="2" t="str">
        <f xml:space="preserve"> _xll.EPMOlapMemberO("[LOCID].[].[Munich plant]","","Munich plant","","000")</f>
        <v>Munich plant</v>
      </c>
      <c r="B659" s="2" t="str">
        <f xml:space="preserve"> _xll.EPMOlapMemberO("[PRDID].[].[999-75974-0006]","","999-75974-0006","","000")</f>
        <v>999-75974-0006</v>
      </c>
      <c r="C659" s="2" t="str">
        <f xml:space="preserve"> _xll.EPMOlapMemberO("[BRAND].[].[ GAULOISES BLONDES]",""," GAULOISES BLONDES","","000")</f>
        <v xml:space="preserve"> GAULOISES BLONDES</v>
      </c>
      <c r="D659" s="2" t="str">
        <f xml:space="preserve"> _xll.EPMOlapMemberO("[AM2MARKETDESCR].[].[GERMANY]","","GERMANY","","000")</f>
        <v>GERMANY</v>
      </c>
      <c r="E659" s="2" t="str">
        <f xml:space="preserve"> _xll.EPMOlapMemberO("[AM2PARENTCUSTGROUP].[].[__NULL]","","(None)","","000")</f>
        <v>(None)</v>
      </c>
      <c r="F659" s="2" t="str">
        <f xml:space="preserve"> _xll.EPMOlapMemberO("[KEY_FIGURES].[].[CONFIRMEDPRODUCTION]","","Production Order","","000")</f>
        <v>Production Order</v>
      </c>
      <c r="AS659" s="2">
        <v>768</v>
      </c>
      <c r="AV659" s="2">
        <v>8.3330000000000002</v>
      </c>
      <c r="AX659" s="2">
        <v>420</v>
      </c>
      <c r="AZ659" s="2">
        <v>463.33300000000003</v>
      </c>
    </row>
    <row r="660" spans="1:52" x14ac:dyDescent="0.35">
      <c r="A660" s="2" t="str">
        <f xml:space="preserve"> _xll.EPMOlapMemberO("[LOCID].[].[Munich plant]","","Munich plant","","000")</f>
        <v>Munich plant</v>
      </c>
      <c r="B660" s="2" t="str">
        <f xml:space="preserve"> _xll.EPMOlapMemberO("[PRDID].[].[999-76025-0003]","","999-76025-0003","","000")</f>
        <v>999-76025-0003</v>
      </c>
      <c r="C660" s="2" t="str">
        <f xml:space="preserve"> _xll.EPMOlapMemberO("[BRAND].[].[ MARLBORO]",""," MARLBORO","","000")</f>
        <v xml:space="preserve"> MARLBORO</v>
      </c>
      <c r="D660" s="2" t="str">
        <f xml:space="preserve"> _xll.EPMOlapMemberO("[AM2MARKETDESCR].[].[LUXEMBURG ]","","LUXEMBURG ","","000")</f>
        <v xml:space="preserve">LUXEMBURG </v>
      </c>
      <c r="E660" s="2" t="str">
        <f xml:space="preserve"> _xll.EPMOlapMemberO("[AM2PARENTCUSTGROUP].[].[Mondelez]","","Mondelez","","000")</f>
        <v>Mondelez</v>
      </c>
      <c r="F660" s="2" t="str">
        <f xml:space="preserve"> _xll.EPMOlapMemberO("[KEY_FIGURES].[].[AM2ORDERINTAKE]","","Sales Order","","000")</f>
        <v>Sales Order</v>
      </c>
      <c r="T660" s="2">
        <v>812</v>
      </c>
    </row>
    <row r="661" spans="1:52" x14ac:dyDescent="0.35">
      <c r="A661" s="2" t="str">
        <f xml:space="preserve"> _xll.EPMOlapMemberO("[LOCID].[].[Munich plant]","","Munich plant","","000")</f>
        <v>Munich plant</v>
      </c>
      <c r="B661" s="2" t="str">
        <f xml:space="preserve"> _xll.EPMOlapMemberO("[PRDID].[].[999-76025-0003]","","999-76025-0003","","000")</f>
        <v>999-76025-0003</v>
      </c>
      <c r="C661" s="2" t="str">
        <f xml:space="preserve"> _xll.EPMOlapMemberO("[BRAND].[].[ MARLBORO]",""," MARLBORO","","000")</f>
        <v xml:space="preserve"> MARLBORO</v>
      </c>
      <c r="D661" s="2" t="str">
        <f xml:space="preserve"> _xll.EPMOlapMemberO("[AM2MARKETDESCR].[].[LUXEMBURG ]","","LUXEMBURG ","","000")</f>
        <v xml:space="preserve">LUXEMBURG </v>
      </c>
      <c r="E661" s="2" t="str">
        <f xml:space="preserve"> _xll.EPMOlapMemberO("[AM2PARENTCUSTGROUP].[].[Mondelez]","","Mondelez","","000")</f>
        <v>Mondelez</v>
      </c>
      <c r="F661" s="2" t="str">
        <f xml:space="preserve"> _xll.EPMOlapMemberO("[KEY_FIGURES].[].[AM2ACTUALSHIPMENTS]","","Shipments","","000")</f>
        <v>Shipments</v>
      </c>
      <c r="T661" s="2">
        <v>812</v>
      </c>
    </row>
    <row r="662" spans="1:52" x14ac:dyDescent="0.35">
      <c r="A662" s="2" t="str">
        <f xml:space="preserve"> _xll.EPMOlapMemberO("[LOCID].[].[Munich plant]","","Munich plant","","000")</f>
        <v>Munich plant</v>
      </c>
      <c r="B662" s="2" t="str">
        <f xml:space="preserve"> _xll.EPMOlapMemberO("[PRDID].[].[999-76025-0008]","","999-76025-0008","","000")</f>
        <v>999-76025-0008</v>
      </c>
      <c r="C662" s="2" t="str">
        <f xml:space="preserve"> _xll.EPMOlapMemberO("[BRAND].[].[ MARLBORO]",""," MARLBORO","","000")</f>
        <v xml:space="preserve"> MARLBORO</v>
      </c>
      <c r="D662" s="2" t="str">
        <f xml:space="preserve"> _xll.EPMOlapMemberO("[AM2MARKETDESCR].[].[LUXEMBURG ]","","LUXEMBURG ","","000")</f>
        <v xml:space="preserve">LUXEMBURG </v>
      </c>
      <c r="E662" s="2" t="str">
        <f xml:space="preserve"> _xll.EPMOlapMemberO("[AM2PARENTCUSTGROUP].[].[Mondelez]","","Mondelez","","000")</f>
        <v>Mondelez</v>
      </c>
      <c r="F662" s="2" t="str">
        <f xml:space="preserve"> _xll.EPMOlapMemberO("[KEY_FIGURES].[].[AM2ORDERINTAKE]","","Sales Order","","000")</f>
        <v>Sales Order</v>
      </c>
      <c r="Y662" s="2">
        <v>924</v>
      </c>
      <c r="AA662" s="2">
        <v>98</v>
      </c>
    </row>
    <row r="663" spans="1:52" x14ac:dyDescent="0.35">
      <c r="A663" s="2" t="str">
        <f xml:space="preserve"> _xll.EPMOlapMemberO("[LOCID].[].[Munich plant]","","Munich plant","","000")</f>
        <v>Munich plant</v>
      </c>
      <c r="B663" s="2" t="str">
        <f xml:space="preserve"> _xll.EPMOlapMemberO("[PRDID].[].[999-76025-0008]","","999-76025-0008","","000")</f>
        <v>999-76025-0008</v>
      </c>
      <c r="C663" s="2" t="str">
        <f xml:space="preserve"> _xll.EPMOlapMemberO("[BRAND].[].[ MARLBORO]",""," MARLBORO","","000")</f>
        <v xml:space="preserve"> MARLBORO</v>
      </c>
      <c r="D663" s="2" t="str">
        <f xml:space="preserve"> _xll.EPMOlapMemberO("[AM2MARKETDESCR].[].[LUXEMBURG ]","","LUXEMBURG ","","000")</f>
        <v xml:space="preserve">LUXEMBURG </v>
      </c>
      <c r="E663" s="2" t="str">
        <f xml:space="preserve"> _xll.EPMOlapMemberO("[AM2PARENTCUSTGROUP].[].[Mondelez]","","Mondelez","","000")</f>
        <v>Mondelez</v>
      </c>
      <c r="F663" s="2" t="str">
        <f xml:space="preserve"> _xll.EPMOlapMemberO("[KEY_FIGURES].[].[AM2ACTUALSHIPMENTS]","","Shipments","","000")</f>
        <v>Shipments</v>
      </c>
      <c r="U663" s="2">
        <v>924</v>
      </c>
      <c r="Y663" s="2">
        <v>924</v>
      </c>
      <c r="AA663" s="2">
        <v>98</v>
      </c>
    </row>
    <row r="664" spans="1:52" x14ac:dyDescent="0.35">
      <c r="A664" s="2" t="str">
        <f xml:space="preserve"> _xll.EPMOlapMemberO("[LOCID].[].[Munich plant]","","Munich plant","","000")</f>
        <v>Munich plant</v>
      </c>
      <c r="B664" s="2" t="str">
        <f xml:space="preserve"> _xll.EPMOlapMemberO("[PRDID].[].[999-76025-0059]","","999-76025-0059","","000")</f>
        <v>999-76025-0059</v>
      </c>
      <c r="C664" s="2" t="str">
        <f xml:space="preserve"> _xll.EPMOlapMemberO("[BRAND].[].[ MARLBORO]",""," MARLBORO","","000")</f>
        <v xml:space="preserve"> MARLBORO</v>
      </c>
      <c r="D664" s="2" t="str">
        <f xml:space="preserve"> _xll.EPMOlapMemberO("[AM2MARKETDESCR].[].[LUXEMBURG ]","","LUXEMBURG ","","000")</f>
        <v xml:space="preserve">LUXEMBURG </v>
      </c>
      <c r="E664" s="2" t="str">
        <f xml:space="preserve"> _xll.EPMOlapMemberO("[AM2PARENTCUSTGROUP].[].[Mondelez]","","Mondelez","","000")</f>
        <v>Mondelez</v>
      </c>
      <c r="F664" s="2" t="str">
        <f xml:space="preserve"> _xll.EPMOlapMemberO("[KEY_FIGURES].[].[AM2ACTUALSHIPMENTS]","","Shipments","","000")</f>
        <v>Shipments</v>
      </c>
      <c r="AA664" s="2">
        <v>826</v>
      </c>
    </row>
    <row r="665" spans="1:52" x14ac:dyDescent="0.35">
      <c r="A665" s="2" t="str">
        <f xml:space="preserve"> _xll.EPMOlapMemberO("[LOCID].[].[Munich plant]","","Munich plant","","000")</f>
        <v>Munich plant</v>
      </c>
      <c r="B665" s="2" t="str">
        <f xml:space="preserve"> _xll.EPMOlapMemberO("[PRDID].[].[999-76025-0066]","","999-76025-0066","","000")</f>
        <v>999-76025-0066</v>
      </c>
      <c r="C665" s="2" t="str">
        <f xml:space="preserve"> _xll.EPMOlapMemberO("[BRAND].[].[ MARLBORO]",""," MARLBORO","","000")</f>
        <v xml:space="preserve"> MARLBORO</v>
      </c>
      <c r="D665" s="2" t="str">
        <f xml:space="preserve"> _xll.EPMOlapMemberO("[AM2MARKETDESCR].[].[SPAIN MAINLAND ]","","SPAIN MAINLAND ","","000")</f>
        <v xml:space="preserve">SPAIN MAINLAND </v>
      </c>
      <c r="E665" s="2" t="str">
        <f xml:space="preserve"> _xll.EPMOlapMemberO("[AM2PARENTCUSTGROUP].[].[Mondelez]","","Mondelez","","000")</f>
        <v>Mondelez</v>
      </c>
      <c r="F665" s="2" t="str">
        <f xml:space="preserve"> _xll.EPMOlapMemberO("[KEY_FIGURES].[].[AM2ORDERINTAKE]","","Sales Order","","000")</f>
        <v>Sales Order</v>
      </c>
      <c r="Z665" s="2">
        <v>924</v>
      </c>
    </row>
    <row r="666" spans="1:52" x14ac:dyDescent="0.35">
      <c r="A666" s="2" t="str">
        <f xml:space="preserve"> _xll.EPMOlapMemberO("[LOCID].[].[Munich plant]","","Munich plant","","000")</f>
        <v>Munich plant</v>
      </c>
      <c r="B666" s="2" t="str">
        <f xml:space="preserve"> _xll.EPMOlapMemberO("[PRDID].[].[999-76025-0066]","","999-76025-0066","","000")</f>
        <v>999-76025-0066</v>
      </c>
      <c r="C666" s="2" t="str">
        <f xml:space="preserve"> _xll.EPMOlapMemberO("[BRAND].[].[ MARLBORO]",""," MARLBORO","","000")</f>
        <v xml:space="preserve"> MARLBORO</v>
      </c>
      <c r="D666" s="2" t="str">
        <f xml:space="preserve"> _xll.EPMOlapMemberO("[AM2MARKETDESCR].[].[SPAIN MAINLAND ]","","SPAIN MAINLAND ","","000")</f>
        <v xml:space="preserve">SPAIN MAINLAND </v>
      </c>
      <c r="E666" s="2" t="str">
        <f xml:space="preserve"> _xll.EPMOlapMemberO("[AM2PARENTCUSTGROUP].[].[Mondelez]","","Mondelez","","000")</f>
        <v>Mondelez</v>
      </c>
      <c r="F666" s="2" t="str">
        <f xml:space="preserve"> _xll.EPMOlapMemberO("[KEY_FIGURES].[].[AM2ACTUALSHIPMENTS]","","Shipments","","000")</f>
        <v>Shipments</v>
      </c>
      <c r="AA666" s="2">
        <v>910</v>
      </c>
    </row>
    <row r="667" spans="1:52" x14ac:dyDescent="0.35">
      <c r="A667" s="2" t="str">
        <f xml:space="preserve"> _xll.EPMOlapMemberO("[LOCID].[].[Munich plant]","","Munich plant","","000")</f>
        <v>Munich plant</v>
      </c>
      <c r="B667" s="2" t="str">
        <f xml:space="preserve"> _xll.EPMOlapMemberO("[PRDID].[].[999-76298-0010]","","999-76298-0010","","000")</f>
        <v>999-76298-0010</v>
      </c>
      <c r="C667" s="2" t="str">
        <f xml:space="preserve"> _xll.EPMOlapMemberO("[BRAND].[].[ JPS]",""," JPS","","000")</f>
        <v xml:space="preserve"> JPS</v>
      </c>
      <c r="D667" s="2" t="str">
        <f xml:space="preserve"> _xll.EPMOlapMemberO("[AM2MARKETDESCR].[].[GERMANY]","","GERMANY","","000")</f>
        <v>GERMANY</v>
      </c>
      <c r="E667" s="2" t="str">
        <f xml:space="preserve"> _xll.EPMOlapMemberO("[AM2PARENTCUSTGROUP].[].[__NULL]","","(None)","","000")</f>
        <v>(None)</v>
      </c>
      <c r="F667" s="2" t="str">
        <f xml:space="preserve"> _xll.EPMOlapMemberO("[KEY_FIGURES].[].[CONFIRMEDPRODUCTION]","","Production Order","","000")</f>
        <v>Production Order</v>
      </c>
      <c r="AR667" s="2">
        <v>16</v>
      </c>
    </row>
    <row r="668" spans="1:52" x14ac:dyDescent="0.35">
      <c r="A668" s="2" t="str">
        <f xml:space="preserve"> _xll.EPMOlapMemberO("[LOCID].[].[Munich plant]","","Munich plant","","000")</f>
        <v>Munich plant</v>
      </c>
      <c r="B668" s="2" t="str">
        <f xml:space="preserve"> _xll.EPMOlapMemberO("[PRDID].[].[999-76298-0012]","","999-76298-0012","","000")</f>
        <v>999-76298-0012</v>
      </c>
      <c r="C668" s="2" t="str">
        <f xml:space="preserve"> _xll.EPMOlapMemberO("[BRAND].[].[ JPS]",""," JPS","","000")</f>
        <v xml:space="preserve"> JPS</v>
      </c>
      <c r="D668" s="2" t="str">
        <f xml:space="preserve"> _xll.EPMOlapMemberO("[AM2MARKETDESCR].[].[GERMANY]","","GERMANY","","000")</f>
        <v>GERMANY</v>
      </c>
      <c r="E668" s="2" t="str">
        <f xml:space="preserve"> _xll.EPMOlapMemberO("[AM2PARENTCUSTGROUP].[].[__NULL]","","(None)","","000")</f>
        <v>(None)</v>
      </c>
      <c r="F668" s="2" t="str">
        <f xml:space="preserve"> _xll.EPMOlapMemberO("[KEY_FIGURES].[].[CONFIRMEDPRODUCTION]","","Production Order","","000")</f>
        <v>Production Order</v>
      </c>
      <c r="AR668" s="2">
        <v>109.2</v>
      </c>
    </row>
    <row r="669" spans="1:52" x14ac:dyDescent="0.35">
      <c r="A669" s="2" t="str">
        <f xml:space="preserve"> _xll.EPMOlapMemberO("[LOCID].[].[Munich plant]","","Munich plant","","000")</f>
        <v>Munich plant</v>
      </c>
      <c r="B669" s="2" t="str">
        <f xml:space="preserve"> _xll.EPMOlapMemberO("[PRDID].[].[999-76298-0013]","","999-76298-0013","","000")</f>
        <v>999-76298-0013</v>
      </c>
      <c r="C669" s="2" t="str">
        <f xml:space="preserve"> _xll.EPMOlapMemberO("[BRAND].[].[ JPS]",""," JPS","","000")</f>
        <v xml:space="preserve"> JPS</v>
      </c>
      <c r="D669" s="2" t="str">
        <f xml:space="preserve"> _xll.EPMOlapMemberO("[AM2MARKETDESCR].[].[ITALY]","","ITALY","","000")</f>
        <v>ITALY</v>
      </c>
      <c r="E669" s="2" t="str">
        <f xml:space="preserve"> _xll.EPMOlapMemberO("[AM2PARENTCUSTGROUP].[].[__NULL]","","(None)","","000")</f>
        <v>(None)</v>
      </c>
      <c r="F669" s="2" t="str">
        <f xml:space="preserve"> _xll.EPMOlapMemberO("[KEY_FIGURES].[].[CONFIRMEDPRODUCTION]","","Production Order","","000")</f>
        <v>Production Order</v>
      </c>
      <c r="AR669" s="2">
        <v>655.20000000000005</v>
      </c>
      <c r="AT669" s="2">
        <v>420</v>
      </c>
      <c r="AW669" s="2">
        <v>675</v>
      </c>
      <c r="AZ669" s="2">
        <v>870</v>
      </c>
    </row>
    <row r="670" spans="1:52" x14ac:dyDescent="0.35">
      <c r="A670" s="2" t="str">
        <f xml:space="preserve"> _xll.EPMOlapMemberO("[LOCID].[].[Munich plant]","","Munich plant","","000")</f>
        <v>Munich plant</v>
      </c>
      <c r="B670" s="2" t="str">
        <f xml:space="preserve"> _xll.EPMOlapMemberO("[PRDID].[].[999-76298-0014]","","999-76298-0014","","000")</f>
        <v>999-76298-0014</v>
      </c>
      <c r="C670" s="2" t="str">
        <f xml:space="preserve"> _xll.EPMOlapMemberO("[BRAND].[].[ JPS]",""," JPS","","000")</f>
        <v xml:space="preserve"> JPS</v>
      </c>
      <c r="D670" s="2" t="str">
        <f xml:space="preserve"> _xll.EPMOlapMemberO("[AM2MARKETDESCR].[].[ITALY]","","ITALY","","000")</f>
        <v>ITALY</v>
      </c>
      <c r="E670" s="2" t="str">
        <f xml:space="preserve"> _xll.EPMOlapMemberO("[AM2PARENTCUSTGROUP].[].[__NULL]","","(None)","","000")</f>
        <v>(None)</v>
      </c>
      <c r="F670" s="2" t="str">
        <f xml:space="preserve"> _xll.EPMOlapMemberO("[KEY_FIGURES].[].[CONFIRMEDPRODUCTION]","","Production Order","","000")</f>
        <v>Production Order</v>
      </c>
      <c r="AR670" s="2">
        <v>6686.3069999999998</v>
      </c>
      <c r="AT670" s="2">
        <v>2155</v>
      </c>
      <c r="AU670" s="2">
        <v>1755</v>
      </c>
      <c r="AX670" s="2">
        <v>455</v>
      </c>
      <c r="AZ670" s="2">
        <v>2835</v>
      </c>
    </row>
    <row r="671" spans="1:52" x14ac:dyDescent="0.35">
      <c r="A671" s="2" t="str">
        <f xml:space="preserve"> _xll.EPMOlapMemberO("[LOCID].[].[Munich plant]","","Munich plant","","000")</f>
        <v>Munich plant</v>
      </c>
      <c r="B671" s="2" t="str">
        <f xml:space="preserve"> _xll.EPMOlapMemberO("[PRDID].[].[999-76298-0015]","","999-76298-0015","","000")</f>
        <v>999-76298-0015</v>
      </c>
      <c r="C671" s="2" t="str">
        <f xml:space="preserve"> _xll.EPMOlapMemberO("[BRAND].[].[ JPS]",""," JPS","","000")</f>
        <v xml:space="preserve"> JPS</v>
      </c>
      <c r="D671" s="2" t="str">
        <f xml:space="preserve"> _xll.EPMOlapMemberO("[AM2MARKETDESCR].[].[ITALY]","","ITALY","","000")</f>
        <v>ITALY</v>
      </c>
      <c r="E671" s="2" t="str">
        <f xml:space="preserve"> _xll.EPMOlapMemberO("[AM2PARENTCUSTGROUP].[].[__NULL]","","(None)","","000")</f>
        <v>(None)</v>
      </c>
      <c r="F671" s="2" t="str">
        <f xml:space="preserve"> _xll.EPMOlapMemberO("[KEY_FIGURES].[].[CONFIRMEDPRODUCTION]","","Production Order","","000")</f>
        <v>Production Order</v>
      </c>
      <c r="AV671" s="2">
        <v>135</v>
      </c>
      <c r="AY671" s="2">
        <v>160</v>
      </c>
    </row>
    <row r="672" spans="1:52" x14ac:dyDescent="0.35">
      <c r="A672" s="2" t="str">
        <f xml:space="preserve"> _xll.EPMOlapMemberO("[LOCID].[].[Munich plant]","","Munich plant","","000")</f>
        <v>Munich plant</v>
      </c>
      <c r="B672" s="2" t="str">
        <f xml:space="preserve"> _xll.EPMOlapMemberO("[PRDID].[].[999-76298-0016]","","999-76298-0016","","000")</f>
        <v>999-76298-0016</v>
      </c>
      <c r="C672" s="2" t="str">
        <f xml:space="preserve"> _xll.EPMOlapMemberO("[BRAND].[].[ JPS]",""," JPS","","000")</f>
        <v xml:space="preserve"> JPS</v>
      </c>
      <c r="D672" s="2" t="str">
        <f xml:space="preserve"> _xll.EPMOlapMemberO("[AM2MARKETDESCR].[].[PORTUGAL]","","PORTUGAL","","000")</f>
        <v>PORTUGAL</v>
      </c>
      <c r="E672" s="2" t="str">
        <f xml:space="preserve"> _xll.EPMOlapMemberO("[AM2PARENTCUSTGROUP].[].[__NULL]","","(None)","","000")</f>
        <v>(None)</v>
      </c>
      <c r="F672" s="2" t="str">
        <f xml:space="preserve"> _xll.EPMOlapMemberO("[KEY_FIGURES].[].[CONFIRMEDPRODUCTION]","","Production Order","","000")</f>
        <v>Production Order</v>
      </c>
      <c r="AV672" s="2">
        <v>193.75</v>
      </c>
      <c r="AY672" s="2">
        <v>150</v>
      </c>
    </row>
    <row r="673" spans="1:52" x14ac:dyDescent="0.35">
      <c r="A673" s="2" t="str">
        <f xml:space="preserve"> _xll.EPMOlapMemberO("[LOCID].[].[Munich plant]","","Munich plant","","000")</f>
        <v>Munich plant</v>
      </c>
      <c r="B673" s="2" t="str">
        <f xml:space="preserve"> _xll.EPMOlapMemberO("[PRDID].[].[999-76298-0017]","","999-76298-0017","","000")</f>
        <v>999-76298-0017</v>
      </c>
      <c r="C673" s="2" t="str">
        <f xml:space="preserve"> _xll.EPMOlapMemberO("[BRAND].[].[ JPS]",""," JPS","","000")</f>
        <v xml:space="preserve"> JPS</v>
      </c>
      <c r="D673" s="2" t="str">
        <f xml:space="preserve"> _xll.EPMOlapMemberO("[AM2MARKETDESCR].[].[PORTUGAL]","","PORTUGAL","","000")</f>
        <v>PORTUGAL</v>
      </c>
      <c r="E673" s="2" t="str">
        <f xml:space="preserve"> _xll.EPMOlapMemberO("[AM2PARENTCUSTGROUP].[].[__NULL]","","(None)","","000")</f>
        <v>(None)</v>
      </c>
      <c r="F673" s="2" t="str">
        <f xml:space="preserve"> _xll.EPMOlapMemberO("[KEY_FIGURES].[].[CONFIRMEDPRODUCTION]","","Production Order","","000")</f>
        <v>Production Order</v>
      </c>
      <c r="AR673" s="2">
        <v>362.5</v>
      </c>
      <c r="AU673" s="2">
        <v>275</v>
      </c>
      <c r="AX673" s="2">
        <v>262.5</v>
      </c>
    </row>
    <row r="674" spans="1:52" x14ac:dyDescent="0.35">
      <c r="A674" s="2" t="str">
        <f xml:space="preserve"> _xll.EPMOlapMemberO("[LOCID].[].[Munich plant]","","Munich plant","","000")</f>
        <v>Munich plant</v>
      </c>
      <c r="B674" s="2" t="str">
        <f xml:space="preserve"> _xll.EPMOlapMemberO("[PRDID].[].[999-76298-0019]","","999-76298-0019","","000")</f>
        <v>999-76298-0019</v>
      </c>
      <c r="C674" s="2" t="str">
        <f xml:space="preserve"> _xll.EPMOlapMemberO("[BRAND].[].[ JPS]",""," JPS","","000")</f>
        <v xml:space="preserve"> JPS</v>
      </c>
      <c r="D674" s="2" t="str">
        <f xml:space="preserve"> _xll.EPMOlapMemberO("[AM2MARKETDESCR].[].[SPAIN]","","SPAIN","","000")</f>
        <v>SPAIN</v>
      </c>
      <c r="E674" s="2" t="str">
        <f xml:space="preserve"> _xll.EPMOlapMemberO("[AM2PARENTCUSTGROUP].[].[__NULL]","","(None)","","000")</f>
        <v>(None)</v>
      </c>
      <c r="F674" s="2" t="str">
        <f xml:space="preserve"> _xll.EPMOlapMemberO("[KEY_FIGURES].[].[CONFIRMEDPRODUCTION]","","Production Order","","000")</f>
        <v>Production Order</v>
      </c>
      <c r="AR674" s="2">
        <v>436.8</v>
      </c>
      <c r="AT674" s="2">
        <v>230</v>
      </c>
      <c r="AW674" s="2">
        <v>335</v>
      </c>
    </row>
    <row r="675" spans="1:52" x14ac:dyDescent="0.35">
      <c r="A675" s="2" t="str">
        <f xml:space="preserve"> _xll.EPMOlapMemberO("[LOCID].[].[Munich plant]","","Munich plant","","000")</f>
        <v>Munich plant</v>
      </c>
      <c r="B675" s="2" t="str">
        <f xml:space="preserve"> _xll.EPMOlapMemberO("[PRDID].[].[999-76298-0020]","","999-76298-0020","","000")</f>
        <v>999-76298-0020</v>
      </c>
      <c r="C675" s="2" t="str">
        <f xml:space="preserve"> _xll.EPMOlapMemberO("[BRAND].[].[ JPS]",""," JPS","","000")</f>
        <v xml:space="preserve"> JPS</v>
      </c>
      <c r="D675" s="2" t="str">
        <f xml:space="preserve"> _xll.EPMOlapMemberO("[AM2MARKETDESCR].[].[SPAIN]","","SPAIN","","000")</f>
        <v>SPAIN</v>
      </c>
      <c r="E675" s="2" t="str">
        <f xml:space="preserve"> _xll.EPMOlapMemberO("[AM2PARENTCUSTGROUP].[].[__NULL]","","(None)","","000")</f>
        <v>(None)</v>
      </c>
      <c r="F675" s="2" t="str">
        <f xml:space="preserve"> _xll.EPMOlapMemberO("[KEY_FIGURES].[].[CONFIRMEDPRODUCTION]","","Production Order","","000")</f>
        <v>Production Order</v>
      </c>
      <c r="AU675" s="2">
        <v>550</v>
      </c>
      <c r="AY675" s="2">
        <v>815</v>
      </c>
    </row>
    <row r="676" spans="1:52" x14ac:dyDescent="0.35">
      <c r="A676" s="2" t="str">
        <f xml:space="preserve"> _xll.EPMOlapMemberO("[LOCID].[].[Munich plant]","","Munich plant","","000")</f>
        <v>Munich plant</v>
      </c>
      <c r="B676" s="2" t="str">
        <f xml:space="preserve"> _xll.EPMOlapMemberO("[PRDID].[].[999-76298-0021]","","999-76298-0021","","000")</f>
        <v>999-76298-0021</v>
      </c>
      <c r="C676" s="2" t="str">
        <f xml:space="preserve"> _xll.EPMOlapMemberO("[BRAND].[].[ JPS]",""," JPS","","000")</f>
        <v xml:space="preserve"> JPS</v>
      </c>
      <c r="D676" s="2" t="str">
        <f xml:space="preserve"> _xll.EPMOlapMemberO("[AM2MARKETDESCR].[].[SPAIN]","","SPAIN","","000")</f>
        <v>SPAIN</v>
      </c>
      <c r="E676" s="2" t="str">
        <f xml:space="preserve"> _xll.EPMOlapMemberO("[AM2PARENTCUSTGROUP].[].[__NULL]","","(None)","","000")</f>
        <v>(None)</v>
      </c>
      <c r="F676" s="2" t="str">
        <f xml:space="preserve"> _xll.EPMOlapMemberO("[KEY_FIGURES].[].[CONFIRMEDPRODUCTION]","","Production Order","","000")</f>
        <v>Production Order</v>
      </c>
      <c r="AV676" s="2">
        <v>135</v>
      </c>
      <c r="AY676" s="2">
        <v>190</v>
      </c>
    </row>
    <row r="677" spans="1:52" x14ac:dyDescent="0.35">
      <c r="A677" s="2" t="str">
        <f xml:space="preserve"> _xll.EPMOlapMemberO("[LOCID].[].[Munich plant]","","Munich plant","","000")</f>
        <v>Munich plant</v>
      </c>
      <c r="B677" s="2" t="str">
        <f xml:space="preserve"> _xll.EPMOlapMemberO("[PRDID].[].[999-76298-0022]","","999-76298-0022","","000")</f>
        <v>999-76298-0022</v>
      </c>
      <c r="C677" s="2" t="str">
        <f xml:space="preserve"> _xll.EPMOlapMemberO("[BRAND].[].[ JPS]",""," JPS","","000")</f>
        <v xml:space="preserve"> JPS</v>
      </c>
      <c r="D677" s="2" t="str">
        <f xml:space="preserve"> _xll.EPMOlapMemberO("[AM2MARKETDESCR].[].[PORTUGAL]","","PORTUGAL","","000")</f>
        <v>PORTUGAL</v>
      </c>
      <c r="E677" s="2" t="str">
        <f xml:space="preserve"> _xll.EPMOlapMemberO("[AM2PARENTCUSTGROUP].[].[__NULL]","","(None)","","000")</f>
        <v>(None)</v>
      </c>
      <c r="F677" s="2" t="str">
        <f xml:space="preserve"> _xll.EPMOlapMemberO("[KEY_FIGURES].[].[CONFIRMEDPRODUCTION]","","Production Order","","000")</f>
        <v>Production Order</v>
      </c>
      <c r="AT677" s="2">
        <v>1360</v>
      </c>
      <c r="AW677" s="2">
        <v>1320</v>
      </c>
      <c r="AZ677" s="2">
        <v>1340</v>
      </c>
    </row>
    <row r="678" spans="1:52" x14ac:dyDescent="0.35">
      <c r="A678" s="2" t="str">
        <f xml:space="preserve"> _xll.EPMOlapMemberO("[LOCID].[].[Munich plant]","","Munich plant","","000")</f>
        <v>Munich plant</v>
      </c>
      <c r="B678" s="2" t="str">
        <f xml:space="preserve"> _xll.EPMOlapMemberO("[PRDID].[].[999-76298-0023]","","999-76298-0023","","000")</f>
        <v>999-76298-0023</v>
      </c>
      <c r="C678" s="2" t="str">
        <f xml:space="preserve"> _xll.EPMOlapMemberO("[BRAND].[].[ JPS]",""," JPS","","000")</f>
        <v xml:space="preserve"> JPS</v>
      </c>
      <c r="D678" s="2" t="str">
        <f xml:space="preserve"> _xll.EPMOlapMemberO("[AM2MARKETDESCR].[].[PORTUGAL]","","PORTUGAL","","000")</f>
        <v>PORTUGAL</v>
      </c>
      <c r="E678" s="2" t="str">
        <f xml:space="preserve"> _xll.EPMOlapMemberO("[AM2PARENTCUSTGROUP].[].[__NULL]","","(None)","","000")</f>
        <v>(None)</v>
      </c>
      <c r="F678" s="2" t="str">
        <f xml:space="preserve"> _xll.EPMOlapMemberO("[KEY_FIGURES].[].[INITIALINVENTORY]","","Stock","","000")</f>
        <v>Stock</v>
      </c>
      <c r="AQ678" s="2">
        <v>982.8</v>
      </c>
    </row>
    <row r="679" spans="1:52" x14ac:dyDescent="0.35">
      <c r="A679" s="2" t="str">
        <f xml:space="preserve"> _xll.EPMOlapMemberO("[LOCID].[].[Munich plant]","","Munich plant","","000")</f>
        <v>Munich plant</v>
      </c>
      <c r="B679" s="2" t="str">
        <f xml:space="preserve"> _xll.EPMOlapMemberO("[PRDID].[].[999-76298-0023]","","999-76298-0023","","000")</f>
        <v>999-76298-0023</v>
      </c>
      <c r="C679" s="2" t="str">
        <f xml:space="preserve"> _xll.EPMOlapMemberO("[BRAND].[].[ JPS]",""," JPS","","000")</f>
        <v xml:space="preserve"> JPS</v>
      </c>
      <c r="D679" s="2" t="str">
        <f xml:space="preserve"> _xll.EPMOlapMemberO("[AM2MARKETDESCR].[].[PORTUGAL]","","PORTUGAL","","000")</f>
        <v>PORTUGAL</v>
      </c>
      <c r="E679" s="2" t="str">
        <f xml:space="preserve"> _xll.EPMOlapMemberO("[AM2PARENTCUSTGROUP].[].[__NULL]","","(None)","","000")</f>
        <v>(None)</v>
      </c>
      <c r="F679" s="2" t="str">
        <f xml:space="preserve"> _xll.EPMOlapMemberO("[KEY_FIGURES].[].[CONFIRMEDPRODUCTION]","","Production Order","","000")</f>
        <v>Production Order</v>
      </c>
      <c r="AU679" s="2">
        <v>2012.5</v>
      </c>
      <c r="AX679" s="2">
        <v>1975</v>
      </c>
    </row>
    <row r="680" spans="1:52" x14ac:dyDescent="0.35">
      <c r="A680" s="2" t="str">
        <f xml:space="preserve"> _xll.EPMOlapMemberO("[LOCID].[].[Munich plant]","","Munich plant","","000")</f>
        <v>Munich plant</v>
      </c>
      <c r="B680" s="2" t="str">
        <f xml:space="preserve"> _xll.EPMOlapMemberO("[PRDID].[].[999-76298-0024]","","999-76298-0024","","000")</f>
        <v>999-76298-0024</v>
      </c>
      <c r="C680" s="2" t="str">
        <f xml:space="preserve"> _xll.EPMOlapMemberO("[BRAND].[].[ JPS]",""," JPS","","000")</f>
        <v xml:space="preserve"> JPS</v>
      </c>
      <c r="D680" s="2" t="str">
        <f xml:space="preserve"> _xll.EPMOlapMemberO("[AM2MARKETDESCR].[].[PORTUGAL]","","PORTUGAL","","000")</f>
        <v>PORTUGAL</v>
      </c>
      <c r="E680" s="2" t="str">
        <f xml:space="preserve"> _xll.EPMOlapMemberO("[AM2PARENTCUSTGROUP].[].[__NULL]","","(None)","","000")</f>
        <v>(None)</v>
      </c>
      <c r="F680" s="2" t="str">
        <f xml:space="preserve"> _xll.EPMOlapMemberO("[KEY_FIGURES].[].[CONFIRMEDPRODUCTION]","","Production Order","","000")</f>
        <v>Production Order</v>
      </c>
      <c r="AU680" s="2">
        <v>487.5</v>
      </c>
      <c r="AX680" s="2">
        <v>475</v>
      </c>
    </row>
    <row r="681" spans="1:52" x14ac:dyDescent="0.35">
      <c r="A681" s="2" t="str">
        <f xml:space="preserve"> _xll.EPMOlapMemberO("[LOCID].[].[Munich plant]","","Munich plant","","000")</f>
        <v>Munich plant</v>
      </c>
      <c r="B681" s="2" t="str">
        <f xml:space="preserve"> _xll.EPMOlapMemberO("[PRDID].[].[999-76298-0025]","","999-76298-0025","","000")</f>
        <v>999-76298-0025</v>
      </c>
      <c r="C681" s="2" t="str">
        <f xml:space="preserve"> _xll.EPMOlapMemberO("[BRAND].[].[ JPS]",""," JPS","","000")</f>
        <v xml:space="preserve"> JPS</v>
      </c>
      <c r="D681" s="2" t="str">
        <f xml:space="preserve"> _xll.EPMOlapMemberO("[AM2MARKETDESCR].[].[GERMANY]","","GERMANY","","000")</f>
        <v>GERMANY</v>
      </c>
      <c r="E681" s="2" t="str">
        <f xml:space="preserve"> _xll.EPMOlapMemberO("[AM2PARENTCUSTGROUP].[].[__NULL]","","(None)","","000")</f>
        <v>(None)</v>
      </c>
      <c r="F681" s="2" t="str">
        <f xml:space="preserve"> _xll.EPMOlapMemberO("[KEY_FIGURES].[].[CONFIRMEDPRODUCTION]","","Production Order","","000")</f>
        <v>Production Order</v>
      </c>
      <c r="AU681" s="2">
        <v>4888.8</v>
      </c>
      <c r="AV681" s="2">
        <v>3528</v>
      </c>
      <c r="AY681" s="2">
        <v>3568</v>
      </c>
    </row>
    <row r="682" spans="1:52" x14ac:dyDescent="0.35">
      <c r="A682" s="2" t="str">
        <f xml:space="preserve"> _xll.EPMOlapMemberO("[LOCID].[].[Munich plant]","","Munich plant","","000")</f>
        <v>Munich plant</v>
      </c>
      <c r="B682" s="2" t="str">
        <f xml:space="preserve"> _xll.EPMOlapMemberO("[PRDID].[].[999-76298-0026]","","999-76298-0026","","000")</f>
        <v>999-76298-0026</v>
      </c>
      <c r="C682" s="2" t="str">
        <f xml:space="preserve"> _xll.EPMOlapMemberO("[BRAND].[].[ JPS]",""," JPS","","000")</f>
        <v xml:space="preserve"> JPS</v>
      </c>
      <c r="D682" s="2" t="str">
        <f xml:space="preserve"> _xll.EPMOlapMemberO("[AM2MARKETDESCR].[].[GERMANY]","","GERMANY","","000")</f>
        <v>GERMANY</v>
      </c>
      <c r="E682" s="2" t="str">
        <f xml:space="preserve"> _xll.EPMOlapMemberO("[AM2PARENTCUSTGROUP].[].[__NULL]","","(None)","","000")</f>
        <v>(None)</v>
      </c>
      <c r="F682" s="2" t="str">
        <f xml:space="preserve"> _xll.EPMOlapMemberO("[KEY_FIGURES].[].[CONFIRMEDPRODUCTION]","","Production Order","","000")</f>
        <v>Production Order</v>
      </c>
      <c r="AV682" s="2">
        <v>42</v>
      </c>
      <c r="AY682" s="2">
        <v>336</v>
      </c>
    </row>
    <row r="683" spans="1:52" x14ac:dyDescent="0.35">
      <c r="A683" s="2" t="str">
        <f xml:space="preserve"> _xll.EPMOlapMemberO("[LOCID].[].[Munich plant]","","Munich plant","","000")</f>
        <v>Munich plant</v>
      </c>
      <c r="B683" s="2" t="str">
        <f xml:space="preserve"> _xll.EPMOlapMemberO("[PRDID].[].[999-76298-0027]","","999-76298-0027","","000")</f>
        <v>999-76298-0027</v>
      </c>
      <c r="C683" s="2" t="str">
        <f xml:space="preserve"> _xll.EPMOlapMemberO("[BRAND].[].[ JPS]",""," JPS","","000")</f>
        <v xml:space="preserve"> JPS</v>
      </c>
      <c r="D683" s="2" t="str">
        <f xml:space="preserve"> _xll.EPMOlapMemberO("[AM2MARKETDESCR].[].[GERMANY]","","GERMANY","","000")</f>
        <v>GERMANY</v>
      </c>
      <c r="E683" s="2" t="str">
        <f xml:space="preserve"> _xll.EPMOlapMemberO("[AM2PARENTCUSTGROUP].[].[__NULL]","","(None)","","000")</f>
        <v>(None)</v>
      </c>
      <c r="F683" s="2" t="str">
        <f xml:space="preserve"> _xll.EPMOlapMemberO("[KEY_FIGURES].[].[CONFIRMEDPRODUCTION]","","Production Order","","000")</f>
        <v>Production Order</v>
      </c>
      <c r="AR683" s="2">
        <v>1419.6</v>
      </c>
      <c r="AS683" s="2">
        <v>205</v>
      </c>
      <c r="AV683" s="2">
        <v>205</v>
      </c>
      <c r="AY683" s="2">
        <v>1135</v>
      </c>
    </row>
    <row r="684" spans="1:52" x14ac:dyDescent="0.35">
      <c r="A684" s="2" t="str">
        <f xml:space="preserve"> _xll.EPMOlapMemberO("[LOCID].[].[Munich plant]","","Munich plant","","000")</f>
        <v>Munich plant</v>
      </c>
      <c r="B684" s="2" t="str">
        <f xml:space="preserve"> _xll.EPMOlapMemberO("[PRDID].[].[999-76298-0028]","","999-76298-0028","","000")</f>
        <v>999-76298-0028</v>
      </c>
      <c r="C684" s="2" t="str">
        <f xml:space="preserve"> _xll.EPMOlapMemberO("[BRAND].[].[ JPS]",""," JPS","","000")</f>
        <v xml:space="preserve"> JPS</v>
      </c>
      <c r="D684" s="2" t="str">
        <f xml:space="preserve"> _xll.EPMOlapMemberO("[AM2MARKETDESCR].[].[ITALY]","","ITALY","","000")</f>
        <v>ITALY</v>
      </c>
      <c r="E684" s="2" t="str">
        <f xml:space="preserve"> _xll.EPMOlapMemberO("[AM2PARENTCUSTGROUP].[].[__NULL]","","(None)","","000")</f>
        <v>(None)</v>
      </c>
      <c r="F684" s="2" t="str">
        <f xml:space="preserve"> _xll.EPMOlapMemberO("[KEY_FIGURES].[].[CONFIRMEDPRODUCTION]","","Production Order","","000")</f>
        <v>Production Order</v>
      </c>
      <c r="AR684" s="2">
        <v>873.6</v>
      </c>
      <c r="AU684" s="2">
        <v>528</v>
      </c>
      <c r="AX684" s="2">
        <v>688</v>
      </c>
    </row>
    <row r="685" spans="1:52" x14ac:dyDescent="0.35">
      <c r="A685" s="2" t="str">
        <f xml:space="preserve"> _xll.EPMOlapMemberO("[LOCID].[].[Munich plant]","","Munich plant","","000")</f>
        <v>Munich plant</v>
      </c>
      <c r="B685" s="2" t="str">
        <f xml:space="preserve"> _xll.EPMOlapMemberO("[PRDID].[].[999-76298-0029]","","999-76298-0029","","000")</f>
        <v>999-76298-0029</v>
      </c>
      <c r="C685" s="2" t="str">
        <f xml:space="preserve"> _xll.EPMOlapMemberO("[BRAND].[].[ JPS]",""," JPS","","000")</f>
        <v xml:space="preserve"> JPS</v>
      </c>
      <c r="D685" s="2" t="str">
        <f xml:space="preserve"> _xll.EPMOlapMemberO("[AM2MARKETDESCR].[].[ITALY]","","ITALY","","000")</f>
        <v>ITALY</v>
      </c>
      <c r="E685" s="2" t="str">
        <f xml:space="preserve"> _xll.EPMOlapMemberO("[AM2PARENTCUSTGROUP].[].[__NULL]","","(None)","","000")</f>
        <v>(None)</v>
      </c>
      <c r="F685" s="2" t="str">
        <f xml:space="preserve"> _xll.EPMOlapMemberO("[KEY_FIGURES].[].[CONFIRMEDPRODUCTION]","","Production Order","","000")</f>
        <v>Production Order</v>
      </c>
      <c r="AR685" s="2">
        <v>1528.8</v>
      </c>
      <c r="AT685" s="2">
        <v>2433.777</v>
      </c>
      <c r="AW685" s="2">
        <v>3280</v>
      </c>
      <c r="AZ685" s="2">
        <v>4256</v>
      </c>
    </row>
    <row r="686" spans="1:52" x14ac:dyDescent="0.35">
      <c r="A686" s="2" t="str">
        <f xml:space="preserve"> _xll.EPMOlapMemberO("[LOCID].[].[Munich plant]","","Munich plant","","000")</f>
        <v>Munich plant</v>
      </c>
      <c r="B686" s="2" t="str">
        <f xml:space="preserve"> _xll.EPMOlapMemberO("[PRDID].[].[999-76298-0031]","","999-76298-0031","","000")</f>
        <v>999-76298-0031</v>
      </c>
      <c r="C686" s="2" t="str">
        <f xml:space="preserve"> _xll.EPMOlapMemberO("[BRAND].[].[ JPS]",""," JPS","","000")</f>
        <v xml:space="preserve"> JPS</v>
      </c>
      <c r="D686" s="2" t="str">
        <f xml:space="preserve"> _xll.EPMOlapMemberO("[AM2MARKETDESCR].[].[SPAIN]","","SPAIN","","000")</f>
        <v>SPAIN</v>
      </c>
      <c r="E686" s="2" t="str">
        <f xml:space="preserve"> _xll.EPMOlapMemberO("[AM2PARENTCUSTGROUP].[].[__NULL]","","(None)","","000")</f>
        <v>(None)</v>
      </c>
      <c r="F686" s="2" t="str">
        <f xml:space="preserve"> _xll.EPMOlapMemberO("[KEY_FIGURES].[].[CONFIRMEDPRODUCTION]","","Production Order","","000")</f>
        <v>Production Order</v>
      </c>
      <c r="AR686" s="2">
        <v>764.4</v>
      </c>
    </row>
    <row r="687" spans="1:52" x14ac:dyDescent="0.35">
      <c r="A687" s="2" t="str">
        <f xml:space="preserve"> _xll.EPMOlapMemberO("[LOCID].[].[Munich plant]","","Munich plant","","000")</f>
        <v>Munich plant</v>
      </c>
      <c r="B687" s="2" t="str">
        <f xml:space="preserve"> _xll.EPMOlapMemberO("[PRDID].[].[999-76298-0032]","","999-76298-0032","","000")</f>
        <v>999-76298-0032</v>
      </c>
      <c r="C687" s="2" t="str">
        <f xml:space="preserve"> _xll.EPMOlapMemberO("[BRAND].[].[ JPS]",""," JPS","","000")</f>
        <v xml:space="preserve"> JPS</v>
      </c>
      <c r="D687" s="2" t="str">
        <f xml:space="preserve"> _xll.EPMOlapMemberO("[AM2MARKETDESCR].[].[GERMANY]","","GERMANY","","000")</f>
        <v>GERMANY</v>
      </c>
      <c r="E687" s="2" t="str">
        <f xml:space="preserve"> _xll.EPMOlapMemberO("[AM2PARENTCUSTGROUP].[].[__NULL]","","(None)","","000")</f>
        <v>(None)</v>
      </c>
      <c r="F687" s="2" t="str">
        <f xml:space="preserve"> _xll.EPMOlapMemberO("[KEY_FIGURES].[].[CONFIRMEDPRODUCTION]","","Production Order","","000")</f>
        <v>Production Order</v>
      </c>
      <c r="AR687" s="2">
        <v>655.20000000000005</v>
      </c>
    </row>
    <row r="688" spans="1:52" x14ac:dyDescent="0.35">
      <c r="A688" s="2" t="str">
        <f xml:space="preserve"> _xll.EPMOlapMemberO("[LOCID].[].[Munich plant]","","Munich plant","","000")</f>
        <v>Munich plant</v>
      </c>
      <c r="B688" s="2" t="str">
        <f xml:space="preserve"> _xll.EPMOlapMemberO("[PRDID].[].[999-76298-0036]","","999-76298-0036","","000")</f>
        <v>999-76298-0036</v>
      </c>
      <c r="C688" s="2" t="str">
        <f xml:space="preserve"> _xll.EPMOlapMemberO("[BRAND].[].[ JPS]",""," JPS","","000")</f>
        <v xml:space="preserve"> JPS</v>
      </c>
      <c r="D688" s="2" t="str">
        <f xml:space="preserve"> _xll.EPMOlapMemberO("[AM2MARKETDESCR].[].[SPAIN]","","SPAIN","","000")</f>
        <v>SPAIN</v>
      </c>
      <c r="E688" s="2" t="str">
        <f xml:space="preserve"> _xll.EPMOlapMemberO("[AM2PARENTCUSTGROUP].[].[__NULL]","","(None)","","000")</f>
        <v>(None)</v>
      </c>
      <c r="F688" s="2" t="str">
        <f xml:space="preserve"> _xll.EPMOlapMemberO("[KEY_FIGURES].[].[CONFIRMEDPRODUCTION]","","Production Order","","000")</f>
        <v>Production Order</v>
      </c>
      <c r="AR688" s="2">
        <v>546</v>
      </c>
    </row>
    <row r="689" spans="1:52" x14ac:dyDescent="0.35">
      <c r="A689" s="2" t="str">
        <f xml:space="preserve"> _xll.EPMOlapMemberO("[LOCID].[].[Munich plant]","","Munich plant","","000")</f>
        <v>Munich plant</v>
      </c>
      <c r="B689" s="2" t="str">
        <f xml:space="preserve"> _xll.EPMOlapMemberO("[PRDID].[].[999-76298-0039]","","999-76298-0039","","000")</f>
        <v>999-76298-0039</v>
      </c>
      <c r="C689" s="2" t="str">
        <f xml:space="preserve"> _xll.EPMOlapMemberO("[BRAND].[].[ JPS]",""," JPS","","000")</f>
        <v xml:space="preserve"> JPS</v>
      </c>
      <c r="D689" s="2" t="str">
        <f xml:space="preserve"> _xll.EPMOlapMemberO("[AM2MARKETDESCR].[].[PORTUGAL]","","PORTUGAL","","000")</f>
        <v>PORTUGAL</v>
      </c>
      <c r="E689" s="2" t="str">
        <f xml:space="preserve"> _xll.EPMOlapMemberO("[AM2PARENTCUSTGROUP].[].[__NULL]","","(None)","","000")</f>
        <v>(None)</v>
      </c>
      <c r="F689" s="2" t="str">
        <f xml:space="preserve"> _xll.EPMOlapMemberO("[KEY_FIGURES].[].[CONFIRMEDPRODUCTION]","","Production Order","","000")</f>
        <v>Production Order</v>
      </c>
      <c r="AR689" s="2">
        <v>1419.6</v>
      </c>
    </row>
    <row r="690" spans="1:52" x14ac:dyDescent="0.35">
      <c r="A690" s="2" t="str">
        <f xml:space="preserve"> _xll.EPMOlapMemberO("[LOCID].[].[Munich plant]","","Munich plant","","000")</f>
        <v>Munich plant</v>
      </c>
      <c r="B690" s="2" t="str">
        <f xml:space="preserve"> _xll.EPMOlapMemberO("[PRDID].[].[999-76340-0004]","","999-76340-0004","","000")</f>
        <v>999-76340-0004</v>
      </c>
      <c r="C690" s="2" t="str">
        <f xml:space="preserve"> _xll.EPMOlapMemberO("[BRAND].[].[ GAULOISES BLONDES]",""," GAULOISES BLONDES","","000")</f>
        <v xml:space="preserve"> GAULOISES BLONDES</v>
      </c>
      <c r="D690" s="2" t="str">
        <f xml:space="preserve"> _xll.EPMOlapMemberO("[AM2MARKETDESCR].[].[GERMANY]","","GERMANY","","000")</f>
        <v>GERMANY</v>
      </c>
      <c r="E690" s="2" t="str">
        <f xml:space="preserve"> _xll.EPMOlapMemberO("[AM2PARENTCUSTGROUP].[].[__NULL]","","(None)","","000")</f>
        <v>(None)</v>
      </c>
      <c r="F690" s="2" t="str">
        <f xml:space="preserve"> _xll.EPMOlapMemberO("[KEY_FIGURES].[].[CONFIRMEDPRODUCTION]","","Production Order","","000")</f>
        <v>Production Order</v>
      </c>
      <c r="AR690" s="2">
        <v>1050</v>
      </c>
      <c r="AV690" s="2">
        <v>1190</v>
      </c>
      <c r="AY690" s="2">
        <v>1605</v>
      </c>
    </row>
    <row r="691" spans="1:52" x14ac:dyDescent="0.35">
      <c r="A691" s="2" t="str">
        <f xml:space="preserve"> _xll.EPMOlapMemberO("[LOCID].[].[Munich plant]","","Munich plant","","000")</f>
        <v>Munich plant</v>
      </c>
      <c r="B691" s="2" t="str">
        <f xml:space="preserve"> _xll.EPMOlapMemberO("[PRDID].[].[999-76340-0005]","","999-76340-0005","","000")</f>
        <v>999-76340-0005</v>
      </c>
      <c r="C691" s="2" t="str">
        <f xml:space="preserve"> _xll.EPMOlapMemberO("[BRAND].[].[ GAULOISES BLONDES]",""," GAULOISES BLONDES","","000")</f>
        <v xml:space="preserve"> GAULOISES BLONDES</v>
      </c>
      <c r="D691" s="2" t="str">
        <f xml:space="preserve"> _xll.EPMOlapMemberO("[AM2MARKETDESCR].[].[GERMANY]","","GERMANY","","000")</f>
        <v>GERMANY</v>
      </c>
      <c r="E691" s="2" t="str">
        <f xml:space="preserve"> _xll.EPMOlapMemberO("[AM2PARENTCUSTGROUP].[].[__NULL]","","(None)","","000")</f>
        <v>(None)</v>
      </c>
      <c r="F691" s="2" t="str">
        <f xml:space="preserve"> _xll.EPMOlapMemberO("[KEY_FIGURES].[].[CONFIRMEDPRODUCTION]","","Production Order","","000")</f>
        <v>Production Order</v>
      </c>
      <c r="AR691" s="2">
        <v>1890</v>
      </c>
    </row>
    <row r="692" spans="1:52" x14ac:dyDescent="0.35">
      <c r="A692" s="2" t="str">
        <f xml:space="preserve"> _xll.EPMOlapMemberO("[LOCID].[].[Munich plant]","","Munich plant","","000")</f>
        <v>Munich plant</v>
      </c>
      <c r="B692" s="2" t="str">
        <f xml:space="preserve"> _xll.EPMOlapMemberO("[PRDID].[].[999-76340-0006]","","999-76340-0006","","000")</f>
        <v>999-76340-0006</v>
      </c>
      <c r="C692" s="2" t="str">
        <f xml:space="preserve"> _xll.EPMOlapMemberO("[BRAND].[].[ GAULOISES BLONDES]",""," GAULOISES BLONDES","","000")</f>
        <v xml:space="preserve"> GAULOISES BLONDES</v>
      </c>
      <c r="D692" s="2" t="str">
        <f xml:space="preserve"> _xll.EPMOlapMemberO("[AM2MARKETDESCR].[].[GERMANY]","","GERMANY","","000")</f>
        <v>GERMANY</v>
      </c>
      <c r="E692" s="2" t="str">
        <f xml:space="preserve"> _xll.EPMOlapMemberO("[AM2PARENTCUSTGROUP].[].[__NULL]","","(None)","","000")</f>
        <v>(None)</v>
      </c>
      <c r="F692" s="2" t="str">
        <f xml:space="preserve"> _xll.EPMOlapMemberO("[KEY_FIGURES].[].[CONFIRMEDPRODUCTION]","","Production Order","","000")</f>
        <v>Production Order</v>
      </c>
      <c r="AR692" s="2">
        <v>3948</v>
      </c>
      <c r="AS692" s="2">
        <v>534</v>
      </c>
    </row>
    <row r="693" spans="1:52" x14ac:dyDescent="0.35">
      <c r="A693" s="2" t="str">
        <f xml:space="preserve"> _xll.EPMOlapMemberO("[LOCID].[].[Munich plant]","","Munich plant","","000")</f>
        <v>Munich plant</v>
      </c>
      <c r="B693" s="2" t="str">
        <f xml:space="preserve"> _xll.EPMOlapMemberO("[PRDID].[].[999-76340-0007]","","999-76340-0007","","000")</f>
        <v>999-76340-0007</v>
      </c>
      <c r="C693" s="2" t="str">
        <f xml:space="preserve"> _xll.EPMOlapMemberO("[BRAND].[].[ GAULOISES BLONDES]",""," GAULOISES BLONDES","","000")</f>
        <v xml:space="preserve"> GAULOISES BLONDES</v>
      </c>
      <c r="D693" s="2" t="str">
        <f xml:space="preserve"> _xll.EPMOlapMemberO("[AM2MARKETDESCR].[].[GERMANY]","","GERMANY","","000")</f>
        <v>GERMANY</v>
      </c>
      <c r="E693" s="2" t="str">
        <f xml:space="preserve"> _xll.EPMOlapMemberO("[AM2PARENTCUSTGROUP].[].[__NULL]","","(None)","","000")</f>
        <v>(None)</v>
      </c>
      <c r="F693" s="2" t="str">
        <f xml:space="preserve"> _xll.EPMOlapMemberO("[KEY_FIGURES].[].[CONFIRMEDPRODUCTION]","","Production Order","","000")</f>
        <v>Production Order</v>
      </c>
      <c r="AR693" s="2">
        <v>3696</v>
      </c>
    </row>
    <row r="694" spans="1:52" x14ac:dyDescent="0.35">
      <c r="A694" s="2" t="str">
        <f xml:space="preserve"> _xll.EPMOlapMemberO("[LOCID].[].[Munich plant]","","Munich plant","","000")</f>
        <v>Munich plant</v>
      </c>
      <c r="B694" s="2" t="str">
        <f xml:space="preserve"> _xll.EPMOlapMemberO("[PRDID].[].[999-76402-0004]","","999-76402-0004","","000")</f>
        <v>999-76402-0004</v>
      </c>
      <c r="C694" s="2" t="str">
        <f xml:space="preserve"> _xll.EPMOlapMemberO("[BRAND].[].[ CABINET]",""," CABINET","","000")</f>
        <v xml:space="preserve"> CABINET</v>
      </c>
      <c r="D694" s="2" t="str">
        <f xml:space="preserve"> _xll.EPMOlapMemberO("[AM2MARKETDESCR].[].[GERMANY]","","GERMANY","","000")</f>
        <v>GERMANY</v>
      </c>
      <c r="E694" s="2" t="str">
        <f xml:space="preserve"> _xll.EPMOlapMemberO("[AM2PARENTCUSTGROUP].[].[__NULL]","","(None)","","000")</f>
        <v>(None)</v>
      </c>
      <c r="F694" s="2" t="str">
        <f xml:space="preserve"> _xll.EPMOlapMemberO("[KEY_FIGURES].[].[CONFIRMEDPRODUCTION]","","Production Order","","000")</f>
        <v>Production Order</v>
      </c>
      <c r="AR694" s="2">
        <v>360</v>
      </c>
      <c r="AT694" s="2">
        <v>113.333</v>
      </c>
      <c r="AV694" s="2">
        <v>258.88900000000001</v>
      </c>
      <c r="AX694" s="2">
        <v>164.44399999999999</v>
      </c>
      <c r="AZ694" s="2">
        <v>180</v>
      </c>
    </row>
    <row r="695" spans="1:52" x14ac:dyDescent="0.35">
      <c r="A695" s="2" t="str">
        <f xml:space="preserve"> _xll.EPMOlapMemberO("[LOCID].[].[Munich plant]","","Munich plant","","000")</f>
        <v>Munich plant</v>
      </c>
      <c r="B695" s="2" t="str">
        <f xml:space="preserve"> _xll.EPMOlapMemberO("[PRDID].[].[999-76406-0002]","","999-76406-0002","","000")</f>
        <v>999-76406-0002</v>
      </c>
      <c r="C695" s="2" t="str">
        <f xml:space="preserve"> _xll.EPMOlapMemberO("[BRAND].[].[ RICHMOND]",""," RICHMOND","","000")</f>
        <v xml:space="preserve"> RICHMOND</v>
      </c>
      <c r="D695" s="2" t="str">
        <f xml:space="preserve"> _xll.EPMOlapMemberO("[AM2MARKETDESCR].[].[SPAIN]","","SPAIN","","000")</f>
        <v>SPAIN</v>
      </c>
      <c r="E695" s="2" t="str">
        <f xml:space="preserve"> _xll.EPMOlapMemberO("[AM2PARENTCUSTGROUP].[].[__NULL]","","(None)","","000")</f>
        <v>(None)</v>
      </c>
      <c r="F695" s="2" t="str">
        <f xml:space="preserve"> _xll.EPMOlapMemberO("[KEY_FIGURES].[].[CONFIRMEDPRODUCTION]","","Production Order","","000")</f>
        <v>Production Order</v>
      </c>
      <c r="AS695" s="2">
        <v>116.667</v>
      </c>
      <c r="AV695" s="2">
        <v>35</v>
      </c>
      <c r="AY695" s="2">
        <v>30</v>
      </c>
      <c r="AZ695" s="2">
        <v>60</v>
      </c>
    </row>
    <row r="696" spans="1:52" x14ac:dyDescent="0.35">
      <c r="A696" s="2" t="str">
        <f xml:space="preserve"> _xll.EPMOlapMemberO("[LOCID].[].[Munich plant]","","Munich plant","","000")</f>
        <v>Munich plant</v>
      </c>
      <c r="B696" s="2" t="str">
        <f xml:space="preserve"> _xll.EPMOlapMemberO("[PRDID].[].[999-76424-0013]","","999-76424-0013","","000")</f>
        <v>999-76424-0013</v>
      </c>
      <c r="C696" s="2" t="str">
        <f xml:space="preserve"> _xll.EPMOlapMemberO("[BRAND].[].[ JPS]",""," JPS","","000")</f>
        <v xml:space="preserve"> JPS</v>
      </c>
      <c r="D696" s="2" t="str">
        <f xml:space="preserve"> _xll.EPMOlapMemberO("[AM2MARKETDESCR].[].[GERMANY]","","GERMANY","","000")</f>
        <v>GERMANY</v>
      </c>
      <c r="E696" s="2" t="str">
        <f xml:space="preserve"> _xll.EPMOlapMemberO("[AM2PARENTCUSTGROUP].[].[__NULL]","","(None)","","000")</f>
        <v>(None)</v>
      </c>
      <c r="F696" s="2" t="str">
        <f xml:space="preserve"> _xll.EPMOlapMemberO("[KEY_FIGURES].[].[CONFIRMEDPRODUCTION]","","Production Order","","000")</f>
        <v>Production Order</v>
      </c>
      <c r="AS696" s="2">
        <v>2016</v>
      </c>
      <c r="AT696" s="2">
        <v>702.73699999999997</v>
      </c>
      <c r="AU696" s="2">
        <v>3069.2809999999999</v>
      </c>
      <c r="AW696" s="2">
        <v>193.333</v>
      </c>
      <c r="AX696" s="2">
        <v>1900</v>
      </c>
    </row>
    <row r="697" spans="1:52" x14ac:dyDescent="0.35">
      <c r="A697" s="2" t="str">
        <f xml:space="preserve"> _xll.EPMOlapMemberO("[LOCID].[].[Munich plant]","","Munich plant","","000")</f>
        <v>Munich plant</v>
      </c>
      <c r="B697" s="2" t="str">
        <f xml:space="preserve"> _xll.EPMOlapMemberO("[PRDID].[].[999-76427-0001]","","999-76427-0001","","000")</f>
        <v>999-76427-0001</v>
      </c>
      <c r="C697" s="2" t="str">
        <f xml:space="preserve"> _xll.EPMOlapMemberO("[BRAND].[].[ JPS]",""," JPS","","000")</f>
        <v xml:space="preserve"> JPS</v>
      </c>
      <c r="D697" s="2" t="str">
        <f xml:space="preserve"> _xll.EPMOlapMemberO("[AM2MARKETDESCR].[].[SPAIN]","","SPAIN","","000")</f>
        <v>SPAIN</v>
      </c>
      <c r="E697" s="2" t="str">
        <f xml:space="preserve"> _xll.EPMOlapMemberO("[AM2PARENTCUSTGROUP].[].[__NULL]","","(None)","","000")</f>
        <v>(None)</v>
      </c>
      <c r="F697" s="2" t="str">
        <f xml:space="preserve"> _xll.EPMOlapMemberO("[KEY_FIGURES].[].[CONFIRMEDPRODUCTION]","","Production Order","","000")</f>
        <v>Production Order</v>
      </c>
      <c r="AW697" s="2">
        <v>120</v>
      </c>
      <c r="AZ697" s="2">
        <v>65</v>
      </c>
    </row>
    <row r="698" spans="1:52" x14ac:dyDescent="0.35">
      <c r="A698" s="2" t="str">
        <f xml:space="preserve"> _xll.EPMOlapMemberO("[LOCID].[].[Munich plant]","","Munich plant","","000")</f>
        <v>Munich plant</v>
      </c>
      <c r="B698" s="2" t="str">
        <f xml:space="preserve"> _xll.EPMOlapMemberO("[PRDID].[].[999-76427-0003]","","999-76427-0003","","000")</f>
        <v>999-76427-0003</v>
      </c>
      <c r="C698" s="2" t="str">
        <f xml:space="preserve"> _xll.EPMOlapMemberO("[BRAND].[].[ JPS]",""," JPS","","000")</f>
        <v xml:space="preserve"> JPS</v>
      </c>
      <c r="D698" s="2" t="str">
        <f xml:space="preserve"> _xll.EPMOlapMemberO("[AM2MARKETDESCR].[].[SPAIN]","","SPAIN","","000")</f>
        <v>SPAIN</v>
      </c>
      <c r="E698" s="2" t="str">
        <f xml:space="preserve"> _xll.EPMOlapMemberO("[AM2PARENTCUSTGROUP].[].[__NULL]","","(None)","","000")</f>
        <v>(None)</v>
      </c>
      <c r="F698" s="2" t="str">
        <f xml:space="preserve"> _xll.EPMOlapMemberO("[KEY_FIGURES].[].[CONFIRMEDPRODUCTION]","","Production Order","","000")</f>
        <v>Production Order</v>
      </c>
      <c r="AR698" s="2">
        <v>75</v>
      </c>
      <c r="AU698" s="2">
        <v>15</v>
      </c>
    </row>
    <row r="699" spans="1:52" x14ac:dyDescent="0.35">
      <c r="A699" s="2" t="str">
        <f xml:space="preserve"> _xll.EPMOlapMemberO("[LOCID].[].[Munich plant]","","Munich plant","","000")</f>
        <v>Munich plant</v>
      </c>
      <c r="B699" s="2" t="str">
        <f xml:space="preserve"> _xll.EPMOlapMemberO("[PRDID].[].[999-76511-0011]","","999-76511-0011","","000")</f>
        <v>999-76511-0011</v>
      </c>
      <c r="C699" s="2" t="str">
        <f xml:space="preserve"> _xll.EPMOlapMemberO("[BRAND].[].[ JPS]",""," JPS","","000")</f>
        <v xml:space="preserve"> JPS</v>
      </c>
      <c r="D699" s="2" t="str">
        <f xml:space="preserve"> _xll.EPMOlapMemberO("[AM2MARKETDESCR].[].[GERMANY]","","GERMANY","","000")</f>
        <v>GERMANY</v>
      </c>
      <c r="E699" s="2" t="str">
        <f xml:space="preserve"> _xll.EPMOlapMemberO("[AM2PARENTCUSTGROUP].[].[__NULL]","","(None)","","000")</f>
        <v>(None)</v>
      </c>
      <c r="F699" s="2" t="str">
        <f xml:space="preserve"> _xll.EPMOlapMemberO("[KEY_FIGURES].[].[CONFIRMEDPRODUCTION]","","Production Order","","000")</f>
        <v>Production Order</v>
      </c>
      <c r="AS699" s="2">
        <v>1680</v>
      </c>
      <c r="AU699" s="2">
        <v>2541.616</v>
      </c>
      <c r="AV699" s="2">
        <v>331.988</v>
      </c>
      <c r="AW699" s="2">
        <v>1786.364</v>
      </c>
      <c r="AZ699" s="2">
        <v>2836.364</v>
      </c>
    </row>
    <row r="700" spans="1:52" x14ac:dyDescent="0.35">
      <c r="A700" s="2" t="str">
        <f xml:space="preserve"> _xll.EPMOlapMemberO("[LOCID].[].[Munich plant]","","Munich plant","","000")</f>
        <v>Munich plant</v>
      </c>
      <c r="B700" s="2" t="str">
        <f xml:space="preserve"> _xll.EPMOlapMemberO("[PRDID].[].[999-76511-0012]","","999-76511-0012","","000")</f>
        <v>999-76511-0012</v>
      </c>
      <c r="C700" s="2" t="str">
        <f xml:space="preserve"> _xll.EPMOlapMemberO("[BRAND].[].[ JPS]",""," JPS","","000")</f>
        <v xml:space="preserve"> JPS</v>
      </c>
      <c r="D700" s="2" t="str">
        <f xml:space="preserve"> _xll.EPMOlapMemberO("[AM2MARKETDESCR].[].[GERMANY]","","GERMANY","","000")</f>
        <v>GERMANY</v>
      </c>
      <c r="E700" s="2" t="str">
        <f xml:space="preserve"> _xll.EPMOlapMemberO("[AM2PARENTCUSTGROUP].[].[__NULL]","","(None)","","000")</f>
        <v>(None)</v>
      </c>
      <c r="F700" s="2" t="str">
        <f xml:space="preserve"> _xll.EPMOlapMemberO("[KEY_FIGURES].[].[CONFIRMEDPRODUCTION]","","Production Order","","000")</f>
        <v>Production Order</v>
      </c>
      <c r="AS700" s="2">
        <v>1440</v>
      </c>
      <c r="AV700" s="2">
        <v>1544.318</v>
      </c>
      <c r="AW700" s="2">
        <v>113.636</v>
      </c>
      <c r="AY700" s="2">
        <v>1434.0909999999999</v>
      </c>
    </row>
    <row r="701" spans="1:52" x14ac:dyDescent="0.35">
      <c r="A701" s="2" t="str">
        <f xml:space="preserve"> _xll.EPMOlapMemberO("[LOCID].[].[Munich plant]","","Munich plant","","000")</f>
        <v>Munich plant</v>
      </c>
      <c r="B701" s="2" t="str">
        <f xml:space="preserve"> _xll.EPMOlapMemberO("[PRDID].[].[999-76568-0002]","","999-76568-0002","","000")</f>
        <v>999-76568-0002</v>
      </c>
      <c r="C701" s="2" t="str">
        <f xml:space="preserve"> _xll.EPMOlapMemberO("[BRAND].[].[ CAMEL]",""," CAMEL","","000")</f>
        <v xml:space="preserve"> CAMEL</v>
      </c>
      <c r="D701" s="2" t="str">
        <f xml:space="preserve"> _xll.EPMOlapMemberO("[AM2MARKETDESCR].[].[ROMANIA]","","ROMANIA","","000")</f>
        <v>ROMANIA</v>
      </c>
      <c r="E701" s="2" t="str">
        <f xml:space="preserve"> _xll.EPMOlapMemberO("[AM2PARENTCUSTGROUP].[].[__NULL]","","(None)","","000")</f>
        <v>(None)</v>
      </c>
      <c r="F701" s="2" t="str">
        <f xml:space="preserve"> _xll.EPMOlapMemberO("[KEY_FIGURES].[].[CONFIRMEDPRODUCTION]","","Production Order","","000")</f>
        <v>Production Order</v>
      </c>
      <c r="AR701" s="2">
        <v>2513.2800000000002</v>
      </c>
    </row>
    <row r="702" spans="1:52" x14ac:dyDescent="0.35">
      <c r="A702" s="2" t="str">
        <f xml:space="preserve"> _xll.EPMOlapMemberO("[LOCID].[].[Munich plant]","","Munich plant","","000")</f>
        <v>Munich plant</v>
      </c>
      <c r="B702" s="2" t="str">
        <f xml:space="preserve"> _xll.EPMOlapMemberO("[PRDID].[].[999-76590-0005]","","999-76590-0005","","000")</f>
        <v>999-76590-0005</v>
      </c>
      <c r="C702" s="2" t="str">
        <f xml:space="preserve"> _xll.EPMOlapMemberO("[BRAND].[].[ JPS]",""," JPS","","000")</f>
        <v xml:space="preserve"> JPS</v>
      </c>
      <c r="D702" s="2" t="str">
        <f xml:space="preserve"> _xll.EPMOlapMemberO("[AM2MARKETDESCR].[].[GERMANY]","","GERMANY","","000")</f>
        <v>GERMANY</v>
      </c>
      <c r="E702" s="2" t="str">
        <f xml:space="preserve"> _xll.EPMOlapMemberO("[AM2PARENTCUSTGROUP].[].[__NULL]","","(None)","","000")</f>
        <v>(None)</v>
      </c>
      <c r="F702" s="2" t="str">
        <f xml:space="preserve"> _xll.EPMOlapMemberO("[KEY_FIGURES].[].[CONFIRMEDPRODUCTION]","","Production Order","","000")</f>
        <v>Production Order</v>
      </c>
      <c r="AU702" s="2">
        <v>1150</v>
      </c>
      <c r="AX702" s="2">
        <v>972.72699999999998</v>
      </c>
      <c r="AZ702" s="2">
        <v>740.90899999999999</v>
      </c>
    </row>
    <row r="703" spans="1:52" x14ac:dyDescent="0.35">
      <c r="A703" s="2" t="str">
        <f xml:space="preserve"> _xll.EPMOlapMemberO("[LOCID].[].[Munich plant]","","Munich plant","","000")</f>
        <v>Munich plant</v>
      </c>
      <c r="B703" s="2" t="str">
        <f xml:space="preserve"> _xll.EPMOlapMemberO("[PRDID].[].[999-76590-0006]","","999-76590-0006","","000")</f>
        <v>999-76590-0006</v>
      </c>
      <c r="C703" s="2" t="str">
        <f xml:space="preserve"> _xll.EPMOlapMemberO("[BRAND].[].[ JPS]",""," JPS","","000")</f>
        <v xml:space="preserve"> JPS</v>
      </c>
      <c r="D703" s="2" t="str">
        <f xml:space="preserve"> _xll.EPMOlapMemberO("[AM2MARKETDESCR].[].[GERMANY]","","GERMANY","","000")</f>
        <v>GERMANY</v>
      </c>
      <c r="E703" s="2" t="str">
        <f xml:space="preserve"> _xll.EPMOlapMemberO("[AM2PARENTCUSTGROUP].[].[__NULL]","","(None)","","000")</f>
        <v>(None)</v>
      </c>
      <c r="F703" s="2" t="str">
        <f xml:space="preserve"> _xll.EPMOlapMemberO("[KEY_FIGURES].[].[CONFIRMEDPRODUCTION]","","Production Order","","000")</f>
        <v>Production Order</v>
      </c>
      <c r="AU703" s="2">
        <v>192.727</v>
      </c>
      <c r="AX703" s="2">
        <v>163.636</v>
      </c>
    </row>
    <row r="704" spans="1:52" x14ac:dyDescent="0.35">
      <c r="A704" s="2" t="str">
        <f xml:space="preserve"> _xll.EPMOlapMemberO("[LOCID].[].[Munich plant]","","Munich plant","","000")</f>
        <v>Munich plant</v>
      </c>
      <c r="B704" s="2" t="str">
        <f xml:space="preserve"> _xll.EPMOlapMemberO("[PRDID].[].[999-76976-0001]","","999-76976-0001","","000")</f>
        <v>999-76976-0001</v>
      </c>
      <c r="C704" s="2" t="str">
        <f xml:space="preserve"> _xll.EPMOlapMemberO("[BRAND].[].[ PETER STUYVESANT]",""," PETER STUYVESANT","","000")</f>
        <v xml:space="preserve"> PETER STUYVESANT</v>
      </c>
      <c r="D704" s="2" t="str">
        <f xml:space="preserve"> _xll.EPMOlapMemberO("[AM2MARKETDESCR].[].[GERMANY]","","GERMANY","","000")</f>
        <v>GERMANY</v>
      </c>
      <c r="E704" s="2" t="str">
        <f xml:space="preserve"> _xll.EPMOlapMemberO("[AM2PARENTCUSTGROUP].[].[__NULL]","","(None)","","000")</f>
        <v>(None)</v>
      </c>
      <c r="F704" s="2" t="str">
        <f xml:space="preserve"> _xll.EPMOlapMemberO("[KEY_FIGURES].[].[CONFIRMEDPRODUCTION]","","Production Order","","000")</f>
        <v>Production Order</v>
      </c>
      <c r="AR704" s="2">
        <v>526.98400000000004</v>
      </c>
      <c r="AV704" s="2">
        <v>52.381</v>
      </c>
      <c r="AZ704" s="2">
        <v>280.952</v>
      </c>
    </row>
    <row r="705" spans="1:52" x14ac:dyDescent="0.35">
      <c r="A705" s="2" t="str">
        <f xml:space="preserve"> _xll.EPMOlapMemberO("[LOCID].[].[Munich plant]","","Munich plant","","000")</f>
        <v>Munich plant</v>
      </c>
      <c r="B705" s="2" t="str">
        <f xml:space="preserve"> _xll.EPMOlapMemberO("[PRDID].[].[999-77201-0001]","","999-77201-0001","","000")</f>
        <v>999-77201-0001</v>
      </c>
      <c r="C705" s="2" t="str">
        <f xml:space="preserve"> _xll.EPMOlapMemberO("[BRAND].[].[ JPS]",""," JPS","","000")</f>
        <v xml:space="preserve"> JPS</v>
      </c>
      <c r="D705" s="2" t="str">
        <f xml:space="preserve"> _xll.EPMOlapMemberO("[AM2MARKETDESCR].[].[GERMANY]","","GERMANY","","000")</f>
        <v>GERMANY</v>
      </c>
      <c r="E705" s="2" t="str">
        <f xml:space="preserve"> _xll.EPMOlapMemberO("[AM2PARENTCUSTGROUP].[].[__NULL]","","(None)","","000")</f>
        <v>(None)</v>
      </c>
      <c r="F705" s="2" t="str">
        <f xml:space="preserve"> _xll.EPMOlapMemberO("[KEY_FIGURES].[].[CONFIRMEDPRODUCTION]","","Production Order","","000")</f>
        <v>Production Order</v>
      </c>
      <c r="AS705" s="2">
        <v>687.27300000000002</v>
      </c>
      <c r="AU705" s="2">
        <v>98.182000000000002</v>
      </c>
      <c r="AV705" s="2">
        <v>2315.2449999999999</v>
      </c>
      <c r="AY705" s="2">
        <v>4013.8110000000001</v>
      </c>
    </row>
    <row r="706" spans="1:52" x14ac:dyDescent="0.35">
      <c r="A706" s="2" t="str">
        <f xml:space="preserve"> _xll.EPMOlapMemberO("[LOCID].[].[Munich plant]","","Munich plant","","000")</f>
        <v>Munich plant</v>
      </c>
      <c r="B706" s="2" t="str">
        <f xml:space="preserve"> _xll.EPMOlapMemberO("[PRDID].[].[999-77201-0002]","","999-77201-0002","","000")</f>
        <v>999-77201-0002</v>
      </c>
      <c r="C706" s="2" t="str">
        <f xml:space="preserve"> _xll.EPMOlapMemberO("[BRAND].[].[ JPS]",""," JPS","","000")</f>
        <v xml:space="preserve"> JPS</v>
      </c>
      <c r="D706" s="2" t="str">
        <f xml:space="preserve"> _xll.EPMOlapMemberO("[AM2MARKETDESCR].[].[GERMANY]","","GERMANY","","000")</f>
        <v>GERMANY</v>
      </c>
      <c r="E706" s="2" t="str">
        <f xml:space="preserve"> _xll.EPMOlapMemberO("[AM2PARENTCUSTGROUP].[].[__NULL]","","(None)","","000")</f>
        <v>(None)</v>
      </c>
      <c r="F706" s="2" t="str">
        <f xml:space="preserve"> _xll.EPMOlapMemberO("[KEY_FIGURES].[].[CONFIRMEDPRODUCTION]","","Production Order","","000")</f>
        <v>Production Order</v>
      </c>
      <c r="AS706" s="2">
        <v>1636.364</v>
      </c>
      <c r="AU706" s="2">
        <v>245.45500000000001</v>
      </c>
      <c r="AV706" s="2">
        <v>7387.54</v>
      </c>
      <c r="AW706" s="2">
        <v>6000</v>
      </c>
      <c r="AX706" s="2">
        <v>6000</v>
      </c>
      <c r="AZ706" s="2">
        <v>6000</v>
      </c>
    </row>
    <row r="707" spans="1:52" x14ac:dyDescent="0.35">
      <c r="A707" s="2" t="str">
        <f xml:space="preserve"> _xll.EPMOlapMemberO("[LOCID].[].[Munich plant]","","Munich plant","","000")</f>
        <v>Munich plant</v>
      </c>
      <c r="B707" s="2" t="str">
        <f xml:space="preserve"> _xll.EPMOlapMemberO("[PRDID].[].[999-77339-0001]","","999-77339-0001","","000")</f>
        <v>999-77339-0001</v>
      </c>
      <c r="C707" s="2" t="str">
        <f xml:space="preserve"> _xll.EPMOlapMemberO("[BRAND].[].[ GAULOISES BLONDES]",""," GAULOISES BLONDES","","000")</f>
        <v xml:space="preserve"> GAULOISES BLONDES</v>
      </c>
      <c r="D707" s="2" t="str">
        <f xml:space="preserve"> _xll.EPMOlapMemberO("[AM2MARKETDESCR].[].[GEORGIA]","","GEORGIA","","000")</f>
        <v>GEORGIA</v>
      </c>
      <c r="E707" s="2" t="str">
        <f xml:space="preserve"> _xll.EPMOlapMemberO("[AM2PARENTCUSTGROUP].[].[__NULL]","","(None)","","000")</f>
        <v>(None)</v>
      </c>
      <c r="F707" s="2" t="str">
        <f xml:space="preserve"> _xll.EPMOlapMemberO("[KEY_FIGURES].[].[CONFIRMEDPRODUCTION]","","Production Order","","000")</f>
        <v>Production Order</v>
      </c>
      <c r="AU707" s="2">
        <v>397.34</v>
      </c>
      <c r="AX707" s="2">
        <v>185.2</v>
      </c>
    </row>
    <row r="708" spans="1:52" x14ac:dyDescent="0.35">
      <c r="A708" s="2" t="str">
        <f xml:space="preserve"> _xll.EPMOlapMemberO("[LOCID].[].[Munich plant]","","Munich plant","","000")</f>
        <v>Munich plant</v>
      </c>
      <c r="B708" s="2" t="str">
        <f xml:space="preserve"> _xll.EPMOlapMemberO("[PRDID].[].[999-77339-0002]","","999-77339-0002","","000")</f>
        <v>999-77339-0002</v>
      </c>
      <c r="C708" s="2" t="str">
        <f xml:space="preserve"> _xll.EPMOlapMemberO("[BRAND].[].[ GAULOISES BLONDES]",""," GAULOISES BLONDES","","000")</f>
        <v xml:space="preserve"> GAULOISES BLONDES</v>
      </c>
      <c r="D708" s="2" t="str">
        <f xml:space="preserve"> _xll.EPMOlapMemberO("[AM2MARKETDESCR].[].[GEORGIA]","","GEORGIA","","000")</f>
        <v>GEORGIA</v>
      </c>
      <c r="E708" s="2" t="str">
        <f xml:space="preserve"> _xll.EPMOlapMemberO("[AM2PARENTCUSTGROUP].[].[__NULL]","","(None)","","000")</f>
        <v>(None)</v>
      </c>
      <c r="F708" s="2" t="str">
        <f xml:space="preserve"> _xll.EPMOlapMemberO("[KEY_FIGURES].[].[CONFIRMEDPRODUCTION]","","Production Order","","000")</f>
        <v>Production Order</v>
      </c>
      <c r="AU708" s="2">
        <v>725.16</v>
      </c>
      <c r="AX708" s="2">
        <v>338.05</v>
      </c>
    </row>
    <row r="709" spans="1:52" x14ac:dyDescent="0.35">
      <c r="A709" s="2" t="str">
        <f xml:space="preserve"> _xll.EPMOlapMemberO("[LOCID].[].[Munich plant]","","Munich plant","","000")</f>
        <v>Munich plant</v>
      </c>
      <c r="B709" s="2" t="str">
        <f xml:space="preserve"> _xll.EPMOlapMemberO("[PRDID].[].[999-77465-0001]","","999-77465-0001","","000")</f>
        <v>999-77465-0001</v>
      </c>
      <c r="C709" s="2" t="str">
        <f xml:space="preserve"> _xll.EPMOlapMemberO("[BRAND].[].[ GAULOISES BLONDES]",""," GAULOISES BLONDES","","000")</f>
        <v xml:space="preserve"> GAULOISES BLONDES</v>
      </c>
      <c r="D709" s="2" t="str">
        <f xml:space="preserve"> _xll.EPMOlapMemberO("[AM2MARKETDESCR].[].[GERMANY]","","GERMANY","","000")</f>
        <v>GERMANY</v>
      </c>
      <c r="E709" s="2" t="str">
        <f xml:space="preserve"> _xll.EPMOlapMemberO("[AM2PARENTCUSTGROUP].[].[__NULL]","","(None)","","000")</f>
        <v>(None)</v>
      </c>
      <c r="F709" s="2" t="str">
        <f xml:space="preserve"> _xll.EPMOlapMemberO("[KEY_FIGURES].[].[CONFIRMEDPRODUCTION]","","Production Order","","000")</f>
        <v>Production Order</v>
      </c>
      <c r="AT709" s="2">
        <v>300</v>
      </c>
      <c r="AV709" s="2">
        <v>492.10500000000002</v>
      </c>
      <c r="AX709" s="2">
        <v>568.42100000000005</v>
      </c>
    </row>
    <row r="710" spans="1:52" x14ac:dyDescent="0.35">
      <c r="A710" s="2" t="str">
        <f xml:space="preserve"> _xll.EPMOlapMemberO("[LOCID].[].[Munich plant]","","Munich plant","","000")</f>
        <v>Munich plant</v>
      </c>
      <c r="B710" s="2" t="str">
        <f xml:space="preserve"> _xll.EPMOlapMemberO("[PRDID].[].[999-77465-0002]","","999-77465-0002","","000")</f>
        <v>999-77465-0002</v>
      </c>
      <c r="C710" s="2" t="str">
        <f xml:space="preserve"> _xll.EPMOlapMemberO("[BRAND].[].[ GAULOISES BLONDES]",""," GAULOISES BLONDES","","000")</f>
        <v xml:space="preserve"> GAULOISES BLONDES</v>
      </c>
      <c r="D710" s="2" t="str">
        <f xml:space="preserve"> _xll.EPMOlapMemberO("[AM2MARKETDESCR].[].[GERMANY]","","GERMANY","","000")</f>
        <v>GERMANY</v>
      </c>
      <c r="E710" s="2" t="str">
        <f xml:space="preserve"> _xll.EPMOlapMemberO("[AM2PARENTCUSTGROUP].[].[__NULL]","","(None)","","000")</f>
        <v>(None)</v>
      </c>
      <c r="F710" s="2" t="str">
        <f xml:space="preserve"> _xll.EPMOlapMemberO("[KEY_FIGURES].[].[CONFIRMEDPRODUCTION]","","Production Order","","000")</f>
        <v>Production Order</v>
      </c>
      <c r="AR710" s="2">
        <v>1485.6410000000001</v>
      </c>
      <c r="AT710" s="2">
        <v>219.60499999999999</v>
      </c>
      <c r="AU710" s="2">
        <v>276.923</v>
      </c>
      <c r="AW710" s="2">
        <v>725.13199999999995</v>
      </c>
      <c r="AY710" s="2">
        <v>531.57899999999995</v>
      </c>
    </row>
    <row r="711" spans="1:52" x14ac:dyDescent="0.35">
      <c r="A711" s="2" t="str">
        <f xml:space="preserve"> _xll.EPMOlapMemberO("[LOCID].[].[Munich plant]","","Munich plant","","000")</f>
        <v>Munich plant</v>
      </c>
      <c r="B711" s="2" t="str">
        <f xml:space="preserve"> _xll.EPMOlapMemberO("[PRDID].[].[998-50542-0007]","","998-50542-0007","","000")</f>
        <v>998-50542-0007</v>
      </c>
      <c r="C711" s="2" t="str">
        <f xml:space="preserve"> _xll.EPMOlapMemberO("[BRAND].[].[ KARELIA ROYAL]",""," KARELIA ROYAL","","000")</f>
        <v xml:space="preserve"> KARELIA ROYAL</v>
      </c>
      <c r="D711" s="2" t="str">
        <f xml:space="preserve"> _xll.EPMOlapMemberO("[AM2MARKETDESCR].[].[EGYPT]","","EGYPT","","000")</f>
        <v>EGYPT</v>
      </c>
      <c r="E711" s="2" t="str">
        <f xml:space="preserve"> _xll.EPMOlapMemberO("[AM2PARENTCUSTGROUP].[].[__NULL]","","(None)","","000")</f>
        <v>(None)</v>
      </c>
      <c r="F711" s="2" t="str">
        <f xml:space="preserve"> _xll.EPMOlapMemberO("[KEY_FIGURES].[].[CONFIRMEDPRODUCTION]","","Production Order","","000")</f>
        <v>Production Order</v>
      </c>
      <c r="AS711" s="2">
        <v>700</v>
      </c>
      <c r="AT711" s="2">
        <v>200</v>
      </c>
      <c r="AU711" s="2">
        <v>200</v>
      </c>
      <c r="AV711" s="2">
        <v>200</v>
      </c>
    </row>
    <row r="712" spans="1:52" x14ac:dyDescent="0.35">
      <c r="A712" s="2" t="str">
        <f xml:space="preserve"> _xll.EPMOlapMemberO("[LOCID].[].[Munich plant]","","Munich plant","","000")</f>
        <v>Munich plant</v>
      </c>
      <c r="B712" s="2" t="str">
        <f xml:space="preserve"> _xll.EPMOlapMemberO("[PRDID].[].[998-50543-0070]","","998-50543-0070","","000")</f>
        <v>998-50543-0070</v>
      </c>
      <c r="C712" s="2" t="str">
        <f xml:space="preserve"> _xll.EPMOlapMemberO("[BRAND].[].[ KARELIA SLIMS]",""," KARELIA SLIMS","","000")</f>
        <v xml:space="preserve"> KARELIA SLIMS</v>
      </c>
      <c r="D712" s="2" t="str">
        <f xml:space="preserve"> _xll.EPMOlapMemberO("[AM2MARKETDESCR].[].[DUTY FREE]","","DUTY FREE","","000")</f>
        <v>DUTY FREE</v>
      </c>
      <c r="E712" s="2" t="str">
        <f xml:space="preserve"> _xll.EPMOlapMemberO("[AM2PARENTCUSTGROUP].[].[__NULL]","","(None)","","000")</f>
        <v>(None)</v>
      </c>
      <c r="F712" s="2" t="str">
        <f xml:space="preserve"> _xll.EPMOlapMemberO("[KEY_FIGURES].[].[CONFIRMEDPRODUCTION]","","Production Order","","000")</f>
        <v>Production Order</v>
      </c>
      <c r="AR712" s="2">
        <v>120</v>
      </c>
    </row>
    <row r="713" spans="1:52" x14ac:dyDescent="0.35">
      <c r="A713" s="2" t="str">
        <f xml:space="preserve"> _xll.EPMOlapMemberO("[LOCID].[].[Munich plant]","","Munich plant","","000")</f>
        <v>Munich plant</v>
      </c>
      <c r="B713" s="2" t="str">
        <f xml:space="preserve"> _xll.EPMOlapMemberO("[PRDID].[].[998-50545-0048]","","998-50545-0048","","000")</f>
        <v>998-50545-0048</v>
      </c>
      <c r="C713" s="2" t="str">
        <f xml:space="preserve"> _xll.EPMOlapMemberO("[BRAND].[].[ KARELIA SLIMS]",""," KARELIA SLIMS","","000")</f>
        <v xml:space="preserve"> KARELIA SLIMS</v>
      </c>
      <c r="D713" s="2" t="str">
        <f xml:space="preserve"> _xll.EPMOlapMemberO("[AM2MARKETDESCR].[].[DUTY FREE]","","DUTY FREE","","000")</f>
        <v>DUTY FREE</v>
      </c>
      <c r="E713" s="2" t="str">
        <f xml:space="preserve"> _xll.EPMOlapMemberO("[AM2PARENTCUSTGROUP].[].[__NULL]","","(None)","","000")</f>
        <v>(None)</v>
      </c>
      <c r="F713" s="2" t="str">
        <f xml:space="preserve"> _xll.EPMOlapMemberO("[KEY_FIGURES].[].[CONFIRMEDPRODUCTION]","","Production Order","","000")</f>
        <v>Production Order</v>
      </c>
      <c r="AR713" s="2">
        <v>24</v>
      </c>
    </row>
    <row r="714" spans="1:52" x14ac:dyDescent="0.35">
      <c r="A714" s="2" t="str">
        <f xml:space="preserve"> _xll.EPMOlapMemberO("[LOCID].[].[Munich plant]","","Munich plant","","000")</f>
        <v>Munich plant</v>
      </c>
      <c r="B714" s="2" t="str">
        <f xml:space="preserve"> _xll.EPMOlapMemberO("[PRDID].[].[998-50545-0049]","","998-50545-0049","","000")</f>
        <v>998-50545-0049</v>
      </c>
      <c r="C714" s="2" t="str">
        <f xml:space="preserve"> _xll.EPMOlapMemberO("[BRAND].[].[ KARELIA SLIMS]",""," KARELIA SLIMS","","000")</f>
        <v xml:space="preserve"> KARELIA SLIMS</v>
      </c>
      <c r="D714" s="2" t="str">
        <f xml:space="preserve"> _xll.EPMOlapMemberO("[AM2MARKETDESCR].[].[EGYPT]","","EGYPT","","000")</f>
        <v>EGYPT</v>
      </c>
      <c r="E714" s="2" t="str">
        <f xml:space="preserve"> _xll.EPMOlapMemberO("[AM2PARENTCUSTGROUP].[].[__NULL]","","(None)","","000")</f>
        <v>(None)</v>
      </c>
      <c r="F714" s="2" t="str">
        <f xml:space="preserve"> _xll.EPMOlapMemberO("[KEY_FIGURES].[].[CONFIRMEDPRODUCTION]","","Production Order","","000")</f>
        <v>Production Order</v>
      </c>
      <c r="AS714" s="2">
        <v>404</v>
      </c>
      <c r="AT714" s="2">
        <v>200</v>
      </c>
      <c r="AU714" s="2">
        <v>200</v>
      </c>
    </row>
    <row r="715" spans="1:52" x14ac:dyDescent="0.35">
      <c r="A715" s="2" t="str">
        <f xml:space="preserve"> _xll.EPMOlapMemberO("[LOCID].[].[Munich plant]","","Munich plant","","000")</f>
        <v>Munich plant</v>
      </c>
      <c r="B715" s="2" t="str">
        <f xml:space="preserve"> _xll.EPMOlapMemberO("[PRDID].[].[998-51475-0012]","","998-51475-0012","","000")</f>
        <v>998-51475-0012</v>
      </c>
      <c r="C715" s="2" t="str">
        <f xml:space="preserve"> _xll.EPMOlapMemberO("[BRAND].[].[ AMERICAN LEGEND]",""," AMERICAN LEGEND","","000")</f>
        <v xml:space="preserve"> AMERICAN LEGEND</v>
      </c>
      <c r="D715" s="2" t="str">
        <f xml:space="preserve"> _xll.EPMOlapMemberO("[AM2MARKETDESCR].[].[EXPORT]","","EXPORT","","000")</f>
        <v>EXPORT</v>
      </c>
      <c r="E715" s="2" t="str">
        <f xml:space="preserve"> _xll.EPMOlapMemberO("[AM2PARENTCUSTGROUP].[].[__NULL]","","(None)","","000")</f>
        <v>(None)</v>
      </c>
      <c r="F715" s="2" t="str">
        <f xml:space="preserve"> _xll.EPMOlapMemberO("[KEY_FIGURES].[].[CONFIRMEDPRODUCTION]","","Production Order","","000")</f>
        <v>Production Order</v>
      </c>
      <c r="AQ715" s="2">
        <v>1104</v>
      </c>
      <c r="AR715" s="2">
        <v>24</v>
      </c>
      <c r="AS715" s="2">
        <v>1200</v>
      </c>
      <c r="AT715" s="2">
        <v>1200</v>
      </c>
      <c r="AU715" s="2">
        <v>2400</v>
      </c>
    </row>
    <row r="716" spans="1:52" x14ac:dyDescent="0.35">
      <c r="A716" s="2" t="str">
        <f xml:space="preserve"> _xll.EPMOlapMemberO("[LOCID].[].[Munich plant]","","Munich plant","","000")</f>
        <v>Munich plant</v>
      </c>
      <c r="B716" s="2" t="str">
        <f xml:space="preserve"> _xll.EPMOlapMemberO("[PRDID].[].[998-51913-0010]","","998-51913-0010","","000")</f>
        <v>998-51913-0010</v>
      </c>
      <c r="C716" s="2" t="str">
        <f xml:space="preserve"> _xll.EPMOlapMemberO("[BRAND].[].[ KARELIA SLIMS]",""," KARELIA SLIMS","","000")</f>
        <v xml:space="preserve"> KARELIA SLIMS</v>
      </c>
      <c r="D716" s="2" t="str">
        <f xml:space="preserve"> _xll.EPMOlapMemberO("[AM2MARKETDESCR].[].[EXPORT]","","EXPORT","","000")</f>
        <v>EXPORT</v>
      </c>
      <c r="E716" s="2" t="str">
        <f xml:space="preserve"> _xll.EPMOlapMemberO("[AM2PARENTCUSTGROUP].[].[__NULL]","","(None)","","000")</f>
        <v>(None)</v>
      </c>
      <c r="F716" s="2" t="str">
        <f xml:space="preserve"> _xll.EPMOlapMemberO("[KEY_FIGURES].[].[INITIALINVENTORY]","","Stock","","000")</f>
        <v>Stock</v>
      </c>
      <c r="AQ716" s="2">
        <v>24</v>
      </c>
    </row>
    <row r="717" spans="1:52" x14ac:dyDescent="0.35">
      <c r="A717" s="2" t="str">
        <f xml:space="preserve"> _xll.EPMOlapMemberO("[LOCID].[].[Munich plant]","","Munich plant","","000")</f>
        <v>Munich plant</v>
      </c>
      <c r="B717" s="2" t="str">
        <f xml:space="preserve"> _xll.EPMOlapMemberO("[PRDID].[].[998-51913-0010]","","998-51913-0010","","000")</f>
        <v>998-51913-0010</v>
      </c>
      <c r="C717" s="2" t="str">
        <f xml:space="preserve"> _xll.EPMOlapMemberO("[BRAND].[].[ KARELIA SLIMS]",""," KARELIA SLIMS","","000")</f>
        <v xml:space="preserve"> KARELIA SLIMS</v>
      </c>
      <c r="D717" s="2" t="str">
        <f xml:space="preserve"> _xll.EPMOlapMemberO("[AM2MARKETDESCR].[].[EXPORT]","","EXPORT","","000")</f>
        <v>EXPORT</v>
      </c>
      <c r="E717" s="2" t="str">
        <f xml:space="preserve"> _xll.EPMOlapMemberO("[AM2PARENTCUSTGROUP].[].[__NULL]","","(None)","","000")</f>
        <v>(None)</v>
      </c>
      <c r="F717" s="2" t="str">
        <f xml:space="preserve"> _xll.EPMOlapMemberO("[KEY_FIGURES].[].[CONFIRMEDPRODUCTION]","","Production Order","","000")</f>
        <v>Production Order</v>
      </c>
      <c r="AR717" s="2">
        <v>10</v>
      </c>
    </row>
    <row r="718" spans="1:52" x14ac:dyDescent="0.35">
      <c r="A718" s="2" t="str">
        <f xml:space="preserve"> _xll.EPMOlapMemberO("[LOCID].[].[Munich plant]","","Munich plant","","000")</f>
        <v>Munich plant</v>
      </c>
      <c r="B718" s="2" t="str">
        <f xml:space="preserve"> _xll.EPMOlapMemberO("[PRDID].[].[998-51914-0008]","","998-51914-0008","","000")</f>
        <v>998-51914-0008</v>
      </c>
      <c r="C718" s="2" t="str">
        <f xml:space="preserve"> _xll.EPMOlapMemberO("[BRAND].[].[ KARELIA SLIMS]",""," KARELIA SLIMS","","000")</f>
        <v xml:space="preserve"> KARELIA SLIMS</v>
      </c>
      <c r="D718" s="2" t="str">
        <f xml:space="preserve"> _xll.EPMOlapMemberO("[AM2MARKETDESCR].[].[EXPORT]","","EXPORT","","000")</f>
        <v>EXPORT</v>
      </c>
      <c r="E718" s="2" t="str">
        <f xml:space="preserve"> _xll.EPMOlapMemberO("[AM2PARENTCUSTGROUP].[].[__NULL]","","(None)","","000")</f>
        <v>(None)</v>
      </c>
      <c r="F718" s="2" t="str">
        <f xml:space="preserve"> _xll.EPMOlapMemberO("[KEY_FIGURES].[].[CONFIRMEDPRODUCTION]","","Production Order","","000")</f>
        <v>Production Order</v>
      </c>
      <c r="AR718" s="2">
        <v>14</v>
      </c>
    </row>
    <row r="719" spans="1:52" x14ac:dyDescent="0.35">
      <c r="A719" s="2" t="str">
        <f xml:space="preserve"> _xll.EPMOlapMemberO("[LOCID].[].[Munich plant]","","Munich plant","","000")</f>
        <v>Munich plant</v>
      </c>
      <c r="B719" s="2" t="str">
        <f xml:space="preserve"> _xll.EPMOlapMemberO("[PRDID].[].[998-52072-0007]","","998-52072-0007","","000")</f>
        <v>998-52072-0007</v>
      </c>
      <c r="C719" s="2" t="str">
        <f xml:space="preserve"> _xll.EPMOlapMemberO("[BRAND].[].[ AMERICAN LEGEND]",""," AMERICAN LEGEND","","000")</f>
        <v xml:space="preserve"> AMERICAN LEGEND</v>
      </c>
      <c r="D719" s="2" t="str">
        <f xml:space="preserve"> _xll.EPMOlapMemberO("[AM2MARKETDESCR].[].[EXPORT]","","EXPORT","","000")</f>
        <v>EXPORT</v>
      </c>
      <c r="E719" s="2" t="str">
        <f xml:space="preserve"> _xll.EPMOlapMemberO("[AM2PARENTCUSTGROUP].[].[__NULL]","","(None)","","000")</f>
        <v>(None)</v>
      </c>
      <c r="F719" s="2" t="str">
        <f xml:space="preserve"> _xll.EPMOlapMemberO("[KEY_FIGURES].[].[CONFIRMEDPRODUCTION]","","Production Order","","000")</f>
        <v>Production Order</v>
      </c>
      <c r="AQ719" s="2">
        <v>72</v>
      </c>
    </row>
    <row r="720" spans="1:52" x14ac:dyDescent="0.35">
      <c r="A720" s="2" t="str">
        <f xml:space="preserve"> _xll.EPMOlapMemberO("[LOCID].[].[Munich plant]","","Munich plant","","000")</f>
        <v>Munich plant</v>
      </c>
      <c r="B720" s="2" t="str">
        <f xml:space="preserve"> _xll.EPMOlapMemberO("[PRDID].[].[998-52181-0007]","","998-52181-0007","","000")</f>
        <v>998-52181-0007</v>
      </c>
      <c r="C720" s="2" t="str">
        <f xml:space="preserve"> _xll.EPMOlapMemberO("[BRAND].[].[ KARELIA SLIMS]",""," KARELIA SLIMS","","000")</f>
        <v xml:space="preserve"> KARELIA SLIMS</v>
      </c>
      <c r="D720" s="2" t="str">
        <f xml:space="preserve"> _xll.EPMOlapMemberO("[AM2MARKETDESCR].[].[EXPORT]","","EXPORT","","000")</f>
        <v>EXPORT</v>
      </c>
      <c r="E720" s="2" t="str">
        <f xml:space="preserve"> _xll.EPMOlapMemberO("[AM2PARENTCUSTGROUP].[].[__NULL]","","(None)","","000")</f>
        <v>(None)</v>
      </c>
      <c r="F720" s="2" t="str">
        <f xml:space="preserve"> _xll.EPMOlapMemberO("[KEY_FIGURES].[].[INITIALINVENTORY]","","Stock","","000")</f>
        <v>Stock</v>
      </c>
      <c r="AQ720" s="2">
        <v>12</v>
      </c>
    </row>
    <row r="721" spans="1:44" x14ac:dyDescent="0.35">
      <c r="A721" s="2" t="str">
        <f xml:space="preserve"> _xll.EPMOlapMemberO("[LOCID].[].[Munich plant]","","Munich plant","","000")</f>
        <v>Munich plant</v>
      </c>
      <c r="B721" s="2" t="str">
        <f xml:space="preserve"> _xll.EPMOlapMemberO("[PRDID].[].[998-52181-0007]","","998-52181-0007","","000")</f>
        <v>998-52181-0007</v>
      </c>
      <c r="C721" s="2" t="str">
        <f xml:space="preserve"> _xll.EPMOlapMemberO("[BRAND].[].[ KARELIA SLIMS]",""," KARELIA SLIMS","","000")</f>
        <v xml:space="preserve"> KARELIA SLIMS</v>
      </c>
      <c r="D721" s="2" t="str">
        <f xml:space="preserve"> _xll.EPMOlapMemberO("[AM2MARKETDESCR].[].[EXPORT]","","EXPORT","","000")</f>
        <v>EXPORT</v>
      </c>
      <c r="E721" s="2" t="str">
        <f xml:space="preserve"> _xll.EPMOlapMemberO("[AM2PARENTCUSTGROUP].[].[__NULL]","","(None)","","000")</f>
        <v>(None)</v>
      </c>
      <c r="F721" s="2" t="str">
        <f xml:space="preserve"> _xll.EPMOlapMemberO("[KEY_FIGURES].[].[CONFIRMEDPRODUCTION]","","Production Order","","000")</f>
        <v>Production Order</v>
      </c>
      <c r="AR721" s="2">
        <v>28</v>
      </c>
    </row>
    <row r="722" spans="1:44" x14ac:dyDescent="0.35">
      <c r="A722" s="2" t="str">
        <f xml:space="preserve"> _xll.EPMOlapMemberO("[LOCID].[].[Munich plant]","","Munich plant","","000")</f>
        <v>Munich plant</v>
      </c>
      <c r="B722" s="2" t="str">
        <f xml:space="preserve"> _xll.EPMOlapMemberO("[PRDID].[].[998-52182-0045]","","998-52182-0045","","000")</f>
        <v>998-52182-0045</v>
      </c>
      <c r="C722" s="2" t="str">
        <f xml:space="preserve"> _xll.EPMOlapMemberO("[BRAND].[].[ KARELIA SLIMS]",""," KARELIA SLIMS","","000")</f>
        <v xml:space="preserve"> KARELIA SLIMS</v>
      </c>
      <c r="D722" s="2" t="str">
        <f xml:space="preserve"> _xll.EPMOlapMemberO("[AM2MARKETDESCR].[].[DUTY FREE]","","DUTY FREE","","000")</f>
        <v>DUTY FREE</v>
      </c>
      <c r="E722" s="2" t="str">
        <f xml:space="preserve"> _xll.EPMOlapMemberO("[AM2PARENTCUSTGROUP].[].[__NULL]","","(None)","","000")</f>
        <v>(None)</v>
      </c>
      <c r="F722" s="2" t="str">
        <f xml:space="preserve"> _xll.EPMOlapMemberO("[KEY_FIGURES].[].[INITIALINVENTORY]","","Stock","","000")</f>
        <v>Stock</v>
      </c>
      <c r="AQ722" s="2">
        <v>10</v>
      </c>
    </row>
    <row r="723" spans="1:44" x14ac:dyDescent="0.35">
      <c r="A723" s="2" t="str">
        <f xml:space="preserve"> _xll.EPMOlapMemberO("[LOCID].[].[Munich plant]","","Munich plant","","000")</f>
        <v>Munich plant</v>
      </c>
      <c r="B723" s="2" t="str">
        <f xml:space="preserve"> _xll.EPMOlapMemberO("[PRDID].[].[998-60535-0012]","","998-60535-0012","","000")</f>
        <v>998-60535-0012</v>
      </c>
      <c r="C723" s="2" t="str">
        <f xml:space="preserve"> _xll.EPMOlapMemberO("[BRAND].[].[ GAULOISES BLONDES]",""," GAULOISES BLONDES","","000")</f>
        <v xml:space="preserve"> GAULOISES BLONDES</v>
      </c>
      <c r="D723" s="2" t="str">
        <f xml:space="preserve"> _xll.EPMOlapMemberO("[AM2MARKETDESCR].[].[IRAQ]","","IRAQ","","000")</f>
        <v>IRAQ</v>
      </c>
      <c r="E723" s="2" t="str">
        <f xml:space="preserve"> _xll.EPMOlapMemberO("[AM2PARENTCUSTGROUP].[].[__NULL]","","(None)","","000")</f>
        <v>(None)</v>
      </c>
      <c r="F723" s="2" t="str">
        <f xml:space="preserve"> _xll.EPMOlapMemberO("[KEY_FIGURES].[].[CONFIRMEDPRODUCTION]","","Production Order","","000")</f>
        <v>Production Order</v>
      </c>
      <c r="AR723" s="2">
        <v>1500</v>
      </c>
    </row>
    <row r="724" spans="1:44" x14ac:dyDescent="0.35">
      <c r="A724" s="2" t="str">
        <f xml:space="preserve"> _xll.EPMOlapMemberO("[LOCID].[].[Munich plant]","","Munich plant","","000")</f>
        <v>Munich plant</v>
      </c>
      <c r="B724" s="2" t="str">
        <f xml:space="preserve"> _xll.EPMOlapMemberO("[PRDID].[].[998-60535-0013]","","998-60535-0013","","000")</f>
        <v>998-60535-0013</v>
      </c>
      <c r="C724" s="2" t="str">
        <f xml:space="preserve"> _xll.EPMOlapMemberO("[BRAND].[].[ GAULOISES BLONDES]",""," GAULOISES BLONDES","","000")</f>
        <v xml:space="preserve"> GAULOISES BLONDES</v>
      </c>
      <c r="D724" s="2" t="str">
        <f xml:space="preserve"> _xll.EPMOlapMemberO("[AM2MARKETDESCR].[].[IRAQ]","","IRAQ","","000")</f>
        <v>IRAQ</v>
      </c>
      <c r="E724" s="2" t="str">
        <f xml:space="preserve"> _xll.EPMOlapMemberO("[AM2PARENTCUSTGROUP].[].[__NULL]","","(None)","","000")</f>
        <v>(None)</v>
      </c>
      <c r="F724" s="2" t="str">
        <f xml:space="preserve"> _xll.EPMOlapMemberO("[KEY_FIGURES].[].[INITIALINVENTORY]","","Stock","","000")</f>
        <v>Stock</v>
      </c>
      <c r="AQ724" s="2">
        <v>30</v>
      </c>
    </row>
    <row r="725" spans="1:44" x14ac:dyDescent="0.35">
      <c r="A725" s="2" t="str">
        <f xml:space="preserve"> _xll.EPMOlapMemberO("[LOCID].[].[Munich plant]","","Munich plant","","000")</f>
        <v>Munich plant</v>
      </c>
      <c r="B725" s="2" t="str">
        <f xml:space="preserve"> _xll.EPMOlapMemberO("[PRDID].[].[998-60535-0013]","","998-60535-0013","","000")</f>
        <v>998-60535-0013</v>
      </c>
      <c r="C725" s="2" t="str">
        <f xml:space="preserve"> _xll.EPMOlapMemberO("[BRAND].[].[ GAULOISES BLONDES]",""," GAULOISES BLONDES","","000")</f>
        <v xml:space="preserve"> GAULOISES BLONDES</v>
      </c>
      <c r="D725" s="2" t="str">
        <f xml:space="preserve"> _xll.EPMOlapMemberO("[AM2MARKETDESCR].[].[IRAQ]","","IRAQ","","000")</f>
        <v>IRAQ</v>
      </c>
      <c r="E725" s="2" t="str">
        <f xml:space="preserve"> _xll.EPMOlapMemberO("[AM2PARENTCUSTGROUP].[].[__NULL]","","(None)","","000")</f>
        <v>(None)</v>
      </c>
      <c r="F725" s="2" t="str">
        <f xml:space="preserve"> _xll.EPMOlapMemberO("[KEY_FIGURES].[].[CONFIRMEDPRODUCTION]","","Production Order","","000")</f>
        <v>Production Order</v>
      </c>
      <c r="AR725" s="2">
        <v>2010</v>
      </c>
    </row>
    <row r="726" spans="1:44" x14ac:dyDescent="0.35">
      <c r="A726" s="2" t="str">
        <f xml:space="preserve"> _xll.EPMOlapMemberO("[LOCID].[].[Hamburg plant]","","Hamburg plant","","000")</f>
        <v>Hamburg plant</v>
      </c>
      <c r="B726" s="2" t="str">
        <f xml:space="preserve"> _xll.EPMOlapMemberO("[PRDID].[].[999-50654-0028]","","999-50654-0028","","000")</f>
        <v>999-50654-0028</v>
      </c>
      <c r="C726" s="2" t="str">
        <f xml:space="preserve"> _xll.EPMOlapMemberO("[BRAND].[].[ L&amp;M]",""," L&amp;M","","000")</f>
        <v xml:space="preserve"> L&amp;M</v>
      </c>
      <c r="D726" s="2" t="str">
        <f xml:space="preserve"> _xll.EPMOlapMemberO("[AM2MARKETDESCR].[].[SLOVAK REPUBLIC ]","","SLOVAK REPUBLIC ","","000")</f>
        <v xml:space="preserve">SLOVAK REPUBLIC </v>
      </c>
      <c r="E726" s="2" t="str">
        <f xml:space="preserve"> _xll.EPMOlapMemberO("[AM2PARENTCUSTGROUP].[].[Mondelez]","","Mondelez","","000")</f>
        <v>Mondelez</v>
      </c>
      <c r="F726" s="2" t="str">
        <f xml:space="preserve"> _xll.EPMOlapMemberO("[KEY_FIGURES].[].[AM2ORDERINTAKE]","","Sales Order","","000")</f>
        <v>Sales Order</v>
      </c>
      <c r="L726" s="2">
        <v>1224</v>
      </c>
    </row>
    <row r="727" spans="1:44" x14ac:dyDescent="0.35">
      <c r="A727" s="2" t="str">
        <f xml:space="preserve"> _xll.EPMOlapMemberO("[LOCID].[].[Hamburg plant]","","Hamburg plant","","000")</f>
        <v>Hamburg plant</v>
      </c>
      <c r="B727" s="2" t="str">
        <f xml:space="preserve"> _xll.EPMOlapMemberO("[PRDID].[].[999-50654-0028]","","999-50654-0028","","000")</f>
        <v>999-50654-0028</v>
      </c>
      <c r="C727" s="2" t="str">
        <f xml:space="preserve"> _xll.EPMOlapMemberO("[BRAND].[].[ L&amp;M]",""," L&amp;M","","000")</f>
        <v xml:space="preserve"> L&amp;M</v>
      </c>
      <c r="D727" s="2" t="str">
        <f xml:space="preserve"> _xll.EPMOlapMemberO("[AM2MARKETDESCR].[].[SLOVAK REPUBLIC ]","","SLOVAK REPUBLIC ","","000")</f>
        <v xml:space="preserve">SLOVAK REPUBLIC </v>
      </c>
      <c r="E727" s="2" t="str">
        <f xml:space="preserve"> _xll.EPMOlapMemberO("[AM2PARENTCUSTGROUP].[].[Mondelez]","","Mondelez","","000")</f>
        <v>Mondelez</v>
      </c>
      <c r="F727" s="2" t="str">
        <f xml:space="preserve"> _xll.EPMOlapMemberO("[KEY_FIGURES].[].[AM2ACTUALSHIPMENTS]","","Shipments","","000")</f>
        <v>Shipments</v>
      </c>
      <c r="L727" s="2">
        <v>720</v>
      </c>
      <c r="M727" s="2">
        <v>504</v>
      </c>
    </row>
    <row r="728" spans="1:44" x14ac:dyDescent="0.35">
      <c r="A728" s="2" t="str">
        <f xml:space="preserve"> _xll.EPMOlapMemberO("[LOCID].[].[Hamburg plant]","","Hamburg plant","","000")</f>
        <v>Hamburg plant</v>
      </c>
      <c r="B728" s="2" t="str">
        <f xml:space="preserve"> _xll.EPMOlapMemberO("[PRDID].[].[999-50654-0029]","","999-50654-0029","","000")</f>
        <v>999-50654-0029</v>
      </c>
      <c r="C728" s="2" t="str">
        <f xml:space="preserve"> _xll.EPMOlapMemberO("[BRAND].[].[ L&amp;M]",""," L&amp;M","","000")</f>
        <v xml:space="preserve"> L&amp;M</v>
      </c>
      <c r="D728" s="2" t="str">
        <f xml:space="preserve"> _xll.EPMOlapMemberO("[AM2MARKETDESCR].[].[POLAND ]","","POLAND ","","000")</f>
        <v xml:space="preserve">POLAND </v>
      </c>
      <c r="E728" s="2" t="str">
        <f xml:space="preserve"> _xll.EPMOlapMemberO("[AM2PARENTCUSTGROUP].[].[Mondelez]","","Mondelez","","000")</f>
        <v>Mondelez</v>
      </c>
      <c r="F728" s="2" t="str">
        <f xml:space="preserve"> _xll.EPMOlapMemberO("[KEY_FIGURES].[].[AM2ORDERINTAKE]","","Sales Order","","000")</f>
        <v>Sales Order</v>
      </c>
      <c r="J728" s="2">
        <v>780</v>
      </c>
      <c r="M728" s="2">
        <v>1488</v>
      </c>
    </row>
    <row r="729" spans="1:44" x14ac:dyDescent="0.35">
      <c r="A729" s="2" t="str">
        <f xml:space="preserve"> _xll.EPMOlapMemberO("[LOCID].[].[Hamburg plant]","","Hamburg plant","","000")</f>
        <v>Hamburg plant</v>
      </c>
      <c r="B729" s="2" t="str">
        <f xml:space="preserve"> _xll.EPMOlapMemberO("[PRDID].[].[999-50654-0029]","","999-50654-0029","","000")</f>
        <v>999-50654-0029</v>
      </c>
      <c r="C729" s="2" t="str">
        <f xml:space="preserve"> _xll.EPMOlapMemberO("[BRAND].[].[ L&amp;M]",""," L&amp;M","","000")</f>
        <v xml:space="preserve"> L&amp;M</v>
      </c>
      <c r="D729" s="2" t="str">
        <f xml:space="preserve"> _xll.EPMOlapMemberO("[AM2MARKETDESCR].[].[POLAND ]","","POLAND ","","000")</f>
        <v xml:space="preserve">POLAND </v>
      </c>
      <c r="E729" s="2" t="str">
        <f xml:space="preserve"> _xll.EPMOlapMemberO("[AM2PARENTCUSTGROUP].[].[Mondelez]","","Mondelez","","000")</f>
        <v>Mondelez</v>
      </c>
      <c r="F729" s="2" t="str">
        <f xml:space="preserve"> _xll.EPMOlapMemberO("[KEY_FIGURES].[].[AM2ACTUALSHIPMENTS]","","Shipments","","000")</f>
        <v>Shipments</v>
      </c>
      <c r="J729" s="2">
        <v>780</v>
      </c>
      <c r="M729" s="2">
        <v>1488</v>
      </c>
    </row>
    <row r="730" spans="1:44" x14ac:dyDescent="0.35">
      <c r="A730" s="2" t="str">
        <f xml:space="preserve"> _xll.EPMOlapMemberO("[LOCID].[].[Hamburg plant]","","Hamburg plant","","000")</f>
        <v>Hamburg plant</v>
      </c>
      <c r="B730" s="2" t="str">
        <f xml:space="preserve"> _xll.EPMOlapMemberO("[PRDID].[].[999-50654-0030]","","999-50654-0030","","000")</f>
        <v>999-50654-0030</v>
      </c>
      <c r="C730" s="2" t="str">
        <f xml:space="preserve"> _xll.EPMOlapMemberO("[BRAND].[].[ L&amp;M]",""," L&amp;M","","000")</f>
        <v xml:space="preserve"> L&amp;M</v>
      </c>
      <c r="D730" s="2" t="str">
        <f xml:space="preserve"> _xll.EPMOlapMemberO("[AM2MARKETDESCR].[].[POLAND ]","","POLAND ","","000")</f>
        <v xml:space="preserve">POLAND </v>
      </c>
      <c r="E730" s="2" t="str">
        <f xml:space="preserve"> _xll.EPMOlapMemberO("[AM2PARENTCUSTGROUP].[].[Mondelez]","","Mondelez","","000")</f>
        <v>Mondelez</v>
      </c>
      <c r="F730" s="2" t="str">
        <f xml:space="preserve"> _xll.EPMOlapMemberO("[KEY_FIGURES].[].[AM2ORDERINTAKE]","","Sales Order","","000")</f>
        <v>Sales Order</v>
      </c>
      <c r="M730" s="2">
        <v>144</v>
      </c>
    </row>
    <row r="731" spans="1:44" x14ac:dyDescent="0.35">
      <c r="A731" s="2" t="str">
        <f xml:space="preserve"> _xll.EPMOlapMemberO("[LOCID].[].[Hamburg plant]","","Hamburg plant","","000")</f>
        <v>Hamburg plant</v>
      </c>
      <c r="B731" s="2" t="str">
        <f xml:space="preserve"> _xll.EPMOlapMemberO("[PRDID].[].[999-50654-0030]","","999-50654-0030","","000")</f>
        <v>999-50654-0030</v>
      </c>
      <c r="C731" s="2" t="str">
        <f xml:space="preserve"> _xll.EPMOlapMemberO("[BRAND].[].[ L&amp;M]",""," L&amp;M","","000")</f>
        <v xml:space="preserve"> L&amp;M</v>
      </c>
      <c r="D731" s="2" t="str">
        <f xml:space="preserve"> _xll.EPMOlapMemberO("[AM2MARKETDESCR].[].[POLAND ]","","POLAND ","","000")</f>
        <v xml:space="preserve">POLAND </v>
      </c>
      <c r="E731" s="2" t="str">
        <f xml:space="preserve"> _xll.EPMOlapMemberO("[AM2PARENTCUSTGROUP].[].[Mondelez]","","Mondelez","","000")</f>
        <v>Mondelez</v>
      </c>
      <c r="F731" s="2" t="str">
        <f xml:space="preserve"> _xll.EPMOlapMemberO("[KEY_FIGURES].[].[AM2ACTUALSHIPMENTS]","","Shipments","","000")</f>
        <v>Shipments</v>
      </c>
      <c r="M731" s="2">
        <v>144</v>
      </c>
    </row>
    <row r="732" spans="1:44" x14ac:dyDescent="0.35">
      <c r="A732" s="2" t="str">
        <f xml:space="preserve"> _xll.EPMOlapMemberO("[LOCID].[].[Hamburg plant]","","Hamburg plant","","000")</f>
        <v>Hamburg plant</v>
      </c>
      <c r="B732" s="2" t="str">
        <f xml:space="preserve"> _xll.EPMOlapMemberO("[PRDID].[].[999-50654-0032]","","999-50654-0032","","000")</f>
        <v>999-50654-0032</v>
      </c>
      <c r="C732" s="2" t="str">
        <f xml:space="preserve"> _xll.EPMOlapMemberO("[BRAND].[].[ L&amp;M]",""," L&amp;M","","000")</f>
        <v xml:space="preserve"> L&amp;M</v>
      </c>
      <c r="D732" s="2" t="str">
        <f xml:space="preserve"> _xll.EPMOlapMemberO("[AM2MARKETDESCR].[].[POLAND ]","","POLAND ","","000")</f>
        <v xml:space="preserve">POLAND </v>
      </c>
      <c r="E732" s="2" t="str">
        <f xml:space="preserve"> _xll.EPMOlapMemberO("[AM2PARENTCUSTGROUP].[].[Mondelez]","","Mondelez","","000")</f>
        <v>Mondelez</v>
      </c>
      <c r="F732" s="2" t="str">
        <f xml:space="preserve"> _xll.EPMOlapMemberO("[KEY_FIGURES].[].[AM2ORDERINTAKE]","","Sales Order","","000")</f>
        <v>Sales Order</v>
      </c>
      <c r="L732" s="2">
        <v>3888</v>
      </c>
      <c r="M732" s="2">
        <v>2280</v>
      </c>
    </row>
    <row r="733" spans="1:44" x14ac:dyDescent="0.35">
      <c r="A733" s="2" t="str">
        <f xml:space="preserve"> _xll.EPMOlapMemberO("[LOCID].[].[Hamburg plant]","","Hamburg plant","","000")</f>
        <v>Hamburg plant</v>
      </c>
      <c r="B733" s="2" t="str">
        <f xml:space="preserve"> _xll.EPMOlapMemberO("[PRDID].[].[999-50654-0032]","","999-50654-0032","","000")</f>
        <v>999-50654-0032</v>
      </c>
      <c r="C733" s="2" t="str">
        <f xml:space="preserve"> _xll.EPMOlapMemberO("[BRAND].[].[ L&amp;M]",""," L&amp;M","","000")</f>
        <v xml:space="preserve"> L&amp;M</v>
      </c>
      <c r="D733" s="2" t="str">
        <f xml:space="preserve"> _xll.EPMOlapMemberO("[AM2MARKETDESCR].[].[POLAND ]","","POLAND ","","000")</f>
        <v xml:space="preserve">POLAND </v>
      </c>
      <c r="E733" s="2" t="str">
        <f xml:space="preserve"> _xll.EPMOlapMemberO("[AM2PARENTCUSTGROUP].[].[Mondelez]","","Mondelez","","000")</f>
        <v>Mondelez</v>
      </c>
      <c r="F733" s="2" t="str">
        <f xml:space="preserve"> _xll.EPMOlapMemberO("[KEY_FIGURES].[].[AM2ACTUALSHIPMENTS]","","Shipments","","000")</f>
        <v>Shipments</v>
      </c>
      <c r="L733" s="2">
        <v>3888</v>
      </c>
      <c r="M733" s="2">
        <v>2280</v>
      </c>
    </row>
    <row r="734" spans="1:44" x14ac:dyDescent="0.35">
      <c r="A734" s="2" t="str">
        <f xml:space="preserve"> _xll.EPMOlapMemberO("[LOCID].[].[Hamburg plant]","","Hamburg plant","","000")</f>
        <v>Hamburg plant</v>
      </c>
      <c r="B734" s="2" t="str">
        <f xml:space="preserve"> _xll.EPMOlapMemberO("[PRDID].[].[999-50654-0033]","","999-50654-0033","","000")</f>
        <v>999-50654-0033</v>
      </c>
      <c r="C734" s="2" t="str">
        <f xml:space="preserve"> _xll.EPMOlapMemberO("[BRAND].[].[ L&amp;M]",""," L&amp;M","","000")</f>
        <v xml:space="preserve"> L&amp;M</v>
      </c>
      <c r="D734" s="2" t="str">
        <f xml:space="preserve"> _xll.EPMOlapMemberO("[AM2MARKETDESCR].[].[POLAND ]","","POLAND ","","000")</f>
        <v xml:space="preserve">POLAND </v>
      </c>
      <c r="E734" s="2" t="str">
        <f xml:space="preserve"> _xll.EPMOlapMemberO("[AM2PARENTCUSTGROUP].[].[Mondelez]","","Mondelez","","000")</f>
        <v>Mondelez</v>
      </c>
      <c r="F734" s="2" t="str">
        <f xml:space="preserve"> _xll.EPMOlapMemberO("[KEY_FIGURES].[].[AM2ORDERINTAKE]","","Sales Order","","000")</f>
        <v>Sales Order</v>
      </c>
      <c r="M734" s="2">
        <v>1584</v>
      </c>
      <c r="O734" s="2">
        <v>1152</v>
      </c>
      <c r="Q734" s="2">
        <v>3024</v>
      </c>
      <c r="R734" s="2">
        <v>3024</v>
      </c>
      <c r="V734" s="2">
        <v>2304</v>
      </c>
    </row>
    <row r="735" spans="1:44" x14ac:dyDescent="0.35">
      <c r="A735" s="2" t="str">
        <f xml:space="preserve"> _xll.EPMOlapMemberO("[LOCID].[].[Hamburg plant]","","Hamburg plant","","000")</f>
        <v>Hamburg plant</v>
      </c>
      <c r="B735" s="2" t="str">
        <f xml:space="preserve"> _xll.EPMOlapMemberO("[PRDID].[].[999-50654-0033]","","999-50654-0033","","000")</f>
        <v>999-50654-0033</v>
      </c>
      <c r="C735" s="2" t="str">
        <f xml:space="preserve"> _xll.EPMOlapMemberO("[BRAND].[].[ L&amp;M]",""," L&amp;M","","000")</f>
        <v xml:space="preserve"> L&amp;M</v>
      </c>
      <c r="D735" s="2" t="str">
        <f xml:space="preserve"> _xll.EPMOlapMemberO("[AM2MARKETDESCR].[].[POLAND ]","","POLAND ","","000")</f>
        <v xml:space="preserve">POLAND </v>
      </c>
      <c r="E735" s="2" t="str">
        <f xml:space="preserve"> _xll.EPMOlapMemberO("[AM2PARENTCUSTGROUP].[].[Mondelez]","","Mondelez","","000")</f>
        <v>Mondelez</v>
      </c>
      <c r="F735" s="2" t="str">
        <f xml:space="preserve"> _xll.EPMOlapMemberO("[KEY_FIGURES].[].[AM2ACTUALSHIPMENTS]","","Shipments","","000")</f>
        <v>Shipments</v>
      </c>
      <c r="M735" s="2">
        <v>1584</v>
      </c>
      <c r="O735" s="2">
        <v>1152</v>
      </c>
      <c r="Q735" s="2">
        <v>2160</v>
      </c>
      <c r="S735" s="2">
        <v>3024</v>
      </c>
      <c r="V735" s="2">
        <v>2304</v>
      </c>
    </row>
    <row r="736" spans="1:44" x14ac:dyDescent="0.35">
      <c r="A736" s="2" t="str">
        <f xml:space="preserve"> _xll.EPMOlapMemberO("[LOCID].[].[Hamburg plant]","","Hamburg plant","","000")</f>
        <v>Hamburg plant</v>
      </c>
      <c r="B736" s="2" t="str">
        <f xml:space="preserve"> _xll.EPMOlapMemberO("[PRDID].[].[999-50654-0034]","","999-50654-0034","","000")</f>
        <v>999-50654-0034</v>
      </c>
      <c r="C736" s="2" t="str">
        <f xml:space="preserve"> _xll.EPMOlapMemberO("[BRAND].[].[ L&amp;M]",""," L&amp;M","","000")</f>
        <v xml:space="preserve"> L&amp;M</v>
      </c>
      <c r="D736" s="2" t="str">
        <f xml:space="preserve"> _xll.EPMOlapMemberO("[AM2MARKETDESCR].[].[POLAND ]","","POLAND ","","000")</f>
        <v xml:space="preserve">POLAND </v>
      </c>
      <c r="E736" s="2" t="str">
        <f xml:space="preserve"> _xll.EPMOlapMemberO("[AM2PARENTCUSTGROUP].[].[Mondelez]","","Mondelez","","000")</f>
        <v>Mondelez</v>
      </c>
      <c r="F736" s="2" t="str">
        <f xml:space="preserve"> _xll.EPMOlapMemberO("[KEY_FIGURES].[].[AM2ORDERINTAKE]","","Sales Order","","000")</f>
        <v>Sales Order</v>
      </c>
      <c r="M736" s="2">
        <v>9312</v>
      </c>
      <c r="O736" s="2">
        <v>14688</v>
      </c>
      <c r="T736" s="2">
        <v>2205</v>
      </c>
      <c r="V736" s="2">
        <v>900</v>
      </c>
    </row>
    <row r="737" spans="1:22" x14ac:dyDescent="0.35">
      <c r="A737" s="2" t="str">
        <f xml:space="preserve"> _xll.EPMOlapMemberO("[LOCID].[].[Hamburg plant]","","Hamburg plant","","000")</f>
        <v>Hamburg plant</v>
      </c>
      <c r="B737" s="2" t="str">
        <f xml:space="preserve"> _xll.EPMOlapMemberO("[PRDID].[].[999-50654-0034]","","999-50654-0034","","000")</f>
        <v>999-50654-0034</v>
      </c>
      <c r="C737" s="2" t="str">
        <f xml:space="preserve"> _xll.EPMOlapMemberO("[BRAND].[].[ L&amp;M]",""," L&amp;M","","000")</f>
        <v xml:space="preserve"> L&amp;M</v>
      </c>
      <c r="D737" s="2" t="str">
        <f xml:space="preserve"> _xll.EPMOlapMemberO("[AM2MARKETDESCR].[].[POLAND ]","","POLAND ","","000")</f>
        <v xml:space="preserve">POLAND </v>
      </c>
      <c r="E737" s="2" t="str">
        <f xml:space="preserve"> _xll.EPMOlapMemberO("[AM2PARENTCUSTGROUP].[].[Mondelez]","","Mondelez","","000")</f>
        <v>Mondelez</v>
      </c>
      <c r="F737" s="2" t="str">
        <f xml:space="preserve"> _xll.EPMOlapMemberO("[KEY_FIGURES].[].[AM2ACTUALSHIPMENTS]","","Shipments","","000")</f>
        <v>Shipments</v>
      </c>
      <c r="M737" s="2">
        <v>6048</v>
      </c>
      <c r="O737" s="2">
        <v>4848</v>
      </c>
      <c r="P737" s="2">
        <v>9936</v>
      </c>
      <c r="T737" s="2">
        <v>2205</v>
      </c>
      <c r="V737" s="2">
        <v>900</v>
      </c>
    </row>
    <row r="738" spans="1:22" x14ac:dyDescent="0.35">
      <c r="A738" s="2" t="str">
        <f xml:space="preserve"> _xll.EPMOlapMemberO("[LOCID].[].[Hamburg plant]","","Hamburg plant","","000")</f>
        <v>Hamburg plant</v>
      </c>
      <c r="B738" s="2" t="str">
        <f xml:space="preserve"> _xll.EPMOlapMemberO("[PRDID].[].[999-50654-0037]","","999-50654-0037","","000")</f>
        <v>999-50654-0037</v>
      </c>
      <c r="C738" s="2" t="str">
        <f xml:space="preserve"> _xll.EPMOlapMemberO("[BRAND].[].[ L&amp;M]",""," L&amp;M","","000")</f>
        <v xml:space="preserve"> L&amp;M</v>
      </c>
      <c r="D738" s="2" t="str">
        <f xml:space="preserve"> _xll.EPMOlapMemberO("[AM2MARKETDESCR].[].[GREEK CYPRUS ]","","GREEK CYPRUS ","","000")</f>
        <v xml:space="preserve">GREEK CYPRUS </v>
      </c>
      <c r="E738" s="2" t="str">
        <f xml:space="preserve"> _xll.EPMOlapMemberO("[AM2PARENTCUSTGROUP].[].[Mondelez]","","Mondelez","","000")</f>
        <v>Mondelez</v>
      </c>
      <c r="F738" s="2" t="str">
        <f xml:space="preserve"> _xll.EPMOlapMemberO("[KEY_FIGURES].[].[AM2ORDERINTAKE]","","Sales Order","","000")</f>
        <v>Sales Order</v>
      </c>
      <c r="O738" s="2">
        <v>132</v>
      </c>
      <c r="R738" s="2">
        <v>60</v>
      </c>
      <c r="V738" s="2">
        <v>36</v>
      </c>
    </row>
    <row r="739" spans="1:22" x14ac:dyDescent="0.35">
      <c r="A739" s="2" t="str">
        <f xml:space="preserve"> _xll.EPMOlapMemberO("[LOCID].[].[Hamburg plant]","","Hamburg plant","","000")</f>
        <v>Hamburg plant</v>
      </c>
      <c r="B739" s="2" t="str">
        <f xml:space="preserve"> _xll.EPMOlapMemberO("[PRDID].[].[999-50654-0037]","","999-50654-0037","","000")</f>
        <v>999-50654-0037</v>
      </c>
      <c r="C739" s="2" t="str">
        <f xml:space="preserve"> _xll.EPMOlapMemberO("[BRAND].[].[ L&amp;M]",""," L&amp;M","","000")</f>
        <v xml:space="preserve"> L&amp;M</v>
      </c>
      <c r="D739" s="2" t="str">
        <f xml:space="preserve"> _xll.EPMOlapMemberO("[AM2MARKETDESCR].[].[GREEK CYPRUS ]","","GREEK CYPRUS ","","000")</f>
        <v xml:space="preserve">GREEK CYPRUS </v>
      </c>
      <c r="E739" s="2" t="str">
        <f xml:space="preserve"> _xll.EPMOlapMemberO("[AM2PARENTCUSTGROUP].[].[Mondelez]","","Mondelez","","000")</f>
        <v>Mondelez</v>
      </c>
      <c r="F739" s="2" t="str">
        <f xml:space="preserve"> _xll.EPMOlapMemberO("[KEY_FIGURES].[].[AM2ACTUALSHIPMENTS]","","Shipments","","000")</f>
        <v>Shipments</v>
      </c>
      <c r="O739" s="2">
        <v>132</v>
      </c>
      <c r="R739" s="2">
        <v>60</v>
      </c>
      <c r="V739" s="2">
        <v>36</v>
      </c>
    </row>
    <row r="740" spans="1:22" x14ac:dyDescent="0.35">
      <c r="A740" s="2" t="str">
        <f xml:space="preserve"> _xll.EPMOlapMemberO("[LOCID].[].[Hamburg plant]","","Hamburg plant","","000")</f>
        <v>Hamburg plant</v>
      </c>
      <c r="B740" s="2" t="str">
        <f xml:space="preserve"> _xll.EPMOlapMemberO("[PRDID].[].[999-50654-0038]","","999-50654-0038","","000")</f>
        <v>999-50654-0038</v>
      </c>
      <c r="C740" s="2" t="str">
        <f xml:space="preserve"> _xll.EPMOlapMemberO("[BRAND].[].[ L&amp;M]",""," L&amp;M","","000")</f>
        <v xml:space="preserve"> L&amp;M</v>
      </c>
      <c r="D740" s="2" t="str">
        <f xml:space="preserve"> _xll.EPMOlapMemberO("[AM2MARKETDESCR].[].[LITHUANIA ]","","LITHUANIA ","","000")</f>
        <v xml:space="preserve">LITHUANIA </v>
      </c>
      <c r="E740" s="2" t="str">
        <f xml:space="preserve"> _xll.EPMOlapMemberO("[AM2PARENTCUSTGROUP].[].[Mondelez]","","Mondelez","","000")</f>
        <v>Mondelez</v>
      </c>
      <c r="F740" s="2" t="str">
        <f xml:space="preserve"> _xll.EPMOlapMemberO("[KEY_FIGURES].[].[AM2ORDERINTAKE]","","Sales Order","","000")</f>
        <v>Sales Order</v>
      </c>
      <c r="O740" s="2">
        <v>101.25</v>
      </c>
    </row>
    <row r="741" spans="1:22" x14ac:dyDescent="0.35">
      <c r="A741" s="2" t="str">
        <f xml:space="preserve"> _xll.EPMOlapMemberO("[LOCID].[].[Hamburg plant]","","Hamburg plant","","000")</f>
        <v>Hamburg plant</v>
      </c>
      <c r="B741" s="2" t="str">
        <f xml:space="preserve"> _xll.EPMOlapMemberO("[PRDID].[].[999-50654-0038]","","999-50654-0038","","000")</f>
        <v>999-50654-0038</v>
      </c>
      <c r="C741" s="2" t="str">
        <f xml:space="preserve"> _xll.EPMOlapMemberO("[BRAND].[].[ L&amp;M]",""," L&amp;M","","000")</f>
        <v xml:space="preserve"> L&amp;M</v>
      </c>
      <c r="D741" s="2" t="str">
        <f xml:space="preserve"> _xll.EPMOlapMemberO("[AM2MARKETDESCR].[].[LITHUANIA ]","","LITHUANIA ","","000")</f>
        <v xml:space="preserve">LITHUANIA </v>
      </c>
      <c r="E741" s="2" t="str">
        <f xml:space="preserve"> _xll.EPMOlapMemberO("[AM2PARENTCUSTGROUP].[].[Mondelez]","","Mondelez","","000")</f>
        <v>Mondelez</v>
      </c>
      <c r="F741" s="2" t="str">
        <f xml:space="preserve"> _xll.EPMOlapMemberO("[KEY_FIGURES].[].[AM2ACTUALSHIPMENTS]","","Shipments","","000")</f>
        <v>Shipments</v>
      </c>
      <c r="O741" s="2">
        <v>67.5</v>
      </c>
      <c r="P741" s="2">
        <v>33.75</v>
      </c>
    </row>
    <row r="742" spans="1:22" x14ac:dyDescent="0.35">
      <c r="A742" s="2" t="str">
        <f xml:space="preserve"> _xll.EPMOlapMemberO("[LOCID].[].[Hamburg plant]","","Hamburg plant","","000")</f>
        <v>Hamburg plant</v>
      </c>
      <c r="B742" s="2" t="str">
        <f xml:space="preserve"> _xll.EPMOlapMemberO("[PRDID].[].[999-50654-0039]","","999-50654-0039","","000")</f>
        <v>999-50654-0039</v>
      </c>
      <c r="C742" s="2" t="str">
        <f xml:space="preserve"> _xll.EPMOlapMemberO("[BRAND].[].[ L&amp;M]",""," L&amp;M","","000")</f>
        <v xml:space="preserve"> L&amp;M</v>
      </c>
      <c r="D742" s="2" t="str">
        <f xml:space="preserve"> _xll.EPMOlapMemberO("[AM2MARKETDESCR].[].[ESTONIA ]","","ESTONIA ","","000")</f>
        <v xml:space="preserve">ESTONIA </v>
      </c>
      <c r="E742" s="2" t="str">
        <f xml:space="preserve"> _xll.EPMOlapMemberO("[AM2PARENTCUSTGROUP].[].[Mondelez]","","Mondelez","","000")</f>
        <v>Mondelez</v>
      </c>
      <c r="F742" s="2" t="str">
        <f xml:space="preserve"> _xll.EPMOlapMemberO("[KEY_FIGURES].[].[AM2ORDERINTAKE]","","Sales Order","","000")</f>
        <v>Sales Order</v>
      </c>
      <c r="O742" s="2">
        <v>70</v>
      </c>
      <c r="Q742" s="2">
        <v>26.25</v>
      </c>
      <c r="S742" s="2">
        <v>157.5</v>
      </c>
    </row>
    <row r="743" spans="1:22" x14ac:dyDescent="0.35">
      <c r="A743" s="2" t="str">
        <f xml:space="preserve"> _xll.EPMOlapMemberO("[LOCID].[].[Hamburg plant]","","Hamburg plant","","000")</f>
        <v>Hamburg plant</v>
      </c>
      <c r="B743" s="2" t="str">
        <f xml:space="preserve"> _xll.EPMOlapMemberO("[PRDID].[].[999-50654-0039]","","999-50654-0039","","000")</f>
        <v>999-50654-0039</v>
      </c>
      <c r="C743" s="2" t="str">
        <f xml:space="preserve"> _xll.EPMOlapMemberO("[BRAND].[].[ L&amp;M]",""," L&amp;M","","000")</f>
        <v xml:space="preserve"> L&amp;M</v>
      </c>
      <c r="D743" s="2" t="str">
        <f xml:space="preserve"> _xll.EPMOlapMemberO("[AM2MARKETDESCR].[].[ESTONIA ]","","ESTONIA ","","000")</f>
        <v xml:space="preserve">ESTONIA </v>
      </c>
      <c r="E743" s="2" t="str">
        <f xml:space="preserve"> _xll.EPMOlapMemberO("[AM2PARENTCUSTGROUP].[].[Mondelez]","","Mondelez","","000")</f>
        <v>Mondelez</v>
      </c>
      <c r="F743" s="2" t="str">
        <f xml:space="preserve"> _xll.EPMOlapMemberO("[KEY_FIGURES].[].[AM2ACTUALSHIPMENTS]","","Shipments","","000")</f>
        <v>Shipments</v>
      </c>
      <c r="O743" s="2">
        <v>180</v>
      </c>
      <c r="Q743" s="2">
        <v>67.5</v>
      </c>
      <c r="S743" s="2">
        <v>157.5</v>
      </c>
    </row>
    <row r="744" spans="1:22" x14ac:dyDescent="0.35">
      <c r="A744" s="2" t="str">
        <f xml:space="preserve"> _xll.EPMOlapMemberO("[LOCID].[].[Hamburg plant]","","Hamburg plant","","000")</f>
        <v>Hamburg plant</v>
      </c>
      <c r="B744" s="2" t="str">
        <f xml:space="preserve"> _xll.EPMOlapMemberO("[PRDID].[].[999-50654-0041]","","999-50654-0041","","000")</f>
        <v>999-50654-0041</v>
      </c>
      <c r="C744" s="2" t="str">
        <f xml:space="preserve"> _xll.EPMOlapMemberO("[BRAND].[].[ L&amp;M]",""," L&amp;M","","000")</f>
        <v xml:space="preserve"> L&amp;M</v>
      </c>
      <c r="D744" s="2" t="str">
        <f xml:space="preserve"> _xll.EPMOlapMemberO("[AM2MARKETDESCR].[].[POLAND]","","POLAND","","000")</f>
        <v>POLAND</v>
      </c>
      <c r="E744" s="2" t="str">
        <f xml:space="preserve"> _xll.EPMOlapMemberO("[AM2PARENTCUSTGROUP].[].[Mondelez]","","Mondelez","","000")</f>
        <v>Mondelez</v>
      </c>
      <c r="F744" s="2" t="str">
        <f xml:space="preserve"> _xll.EPMOlapMemberO("[KEY_FIGURES].[].[AM2ORDERINTAKE]","","Sales Order","","000")</f>
        <v>Sales Order</v>
      </c>
      <c r="N744" s="2">
        <v>3456</v>
      </c>
      <c r="O744" s="2">
        <v>2880</v>
      </c>
    </row>
    <row r="745" spans="1:22" x14ac:dyDescent="0.35">
      <c r="A745" s="2" t="str">
        <f xml:space="preserve"> _xll.EPMOlapMemberO("[LOCID].[].[Hamburg plant]","","Hamburg plant","","000")</f>
        <v>Hamburg plant</v>
      </c>
      <c r="B745" s="2" t="str">
        <f xml:space="preserve"> _xll.EPMOlapMemberO("[PRDID].[].[999-50654-0041]","","999-50654-0041","","000")</f>
        <v>999-50654-0041</v>
      </c>
      <c r="C745" s="2" t="str">
        <f xml:space="preserve"> _xll.EPMOlapMemberO("[BRAND].[].[ L&amp;M]",""," L&amp;M","","000")</f>
        <v xml:space="preserve"> L&amp;M</v>
      </c>
      <c r="D745" s="2" t="str">
        <f xml:space="preserve"> _xll.EPMOlapMemberO("[AM2MARKETDESCR].[].[POLAND]","","POLAND","","000")</f>
        <v>POLAND</v>
      </c>
      <c r="E745" s="2" t="str">
        <f xml:space="preserve"> _xll.EPMOlapMemberO("[AM2PARENTCUSTGROUP].[].[Mondelez]","","Mondelez","","000")</f>
        <v>Mondelez</v>
      </c>
      <c r="F745" s="2" t="str">
        <f xml:space="preserve"> _xll.EPMOlapMemberO("[KEY_FIGURES].[].[AM2ACTUALSHIPMENTS]","","Shipments","","000")</f>
        <v>Shipments</v>
      </c>
      <c r="N745" s="2">
        <v>3456</v>
      </c>
      <c r="O745" s="2">
        <v>2880</v>
      </c>
    </row>
    <row r="746" spans="1:22" x14ac:dyDescent="0.35">
      <c r="A746" s="2" t="str">
        <f xml:space="preserve"> _xll.EPMOlapMemberO("[LOCID].[].[Hamburg plant]","","Hamburg plant","","000")</f>
        <v>Hamburg plant</v>
      </c>
      <c r="B746" s="2" t="str">
        <f xml:space="preserve"> _xll.EPMOlapMemberO("[PRDID].[].[999-50654-0042]","","999-50654-0042","","000")</f>
        <v>999-50654-0042</v>
      </c>
      <c r="C746" s="2" t="str">
        <f xml:space="preserve"> _xll.EPMOlapMemberO("[BRAND].[].[ L&amp;M]",""," L&amp;M","","000")</f>
        <v xml:space="preserve"> L&amp;M</v>
      </c>
      <c r="D746" s="2" t="str">
        <f xml:space="preserve"> _xll.EPMOlapMemberO("[AM2MARKETDESCR].[].[CZECH REPUBLIC ESTIC]","","CZECH REPUBLIC ESTIC","","000")</f>
        <v>CZECH REPUBLIC ESTIC</v>
      </c>
      <c r="E746" s="2" t="str">
        <f xml:space="preserve"> _xll.EPMOlapMemberO("[AM2PARENTCUSTGROUP].[].[Mondelez]","","Mondelez","","000")</f>
        <v>Mondelez</v>
      </c>
      <c r="F746" s="2" t="str">
        <f xml:space="preserve"> _xll.EPMOlapMemberO("[KEY_FIGURES].[].[AM2ORDERINTAKE]","","Sales Order","","000")</f>
        <v>Sales Order</v>
      </c>
      <c r="O746" s="2">
        <v>585</v>
      </c>
      <c r="R746" s="2">
        <v>450</v>
      </c>
    </row>
    <row r="747" spans="1:22" x14ac:dyDescent="0.35">
      <c r="A747" s="2" t="str">
        <f xml:space="preserve"> _xll.EPMOlapMemberO("[LOCID].[].[Hamburg plant]","","Hamburg plant","","000")</f>
        <v>Hamburg plant</v>
      </c>
      <c r="B747" s="2" t="str">
        <f xml:space="preserve"> _xll.EPMOlapMemberO("[PRDID].[].[999-50654-0042]","","999-50654-0042","","000")</f>
        <v>999-50654-0042</v>
      </c>
      <c r="C747" s="2" t="str">
        <f xml:space="preserve"> _xll.EPMOlapMemberO("[BRAND].[].[ L&amp;M]",""," L&amp;M","","000")</f>
        <v xml:space="preserve"> L&amp;M</v>
      </c>
      <c r="D747" s="2" t="str">
        <f xml:space="preserve"> _xll.EPMOlapMemberO("[AM2MARKETDESCR].[].[CZECH REPUBLIC ESTIC]","","CZECH REPUBLIC ESTIC","","000")</f>
        <v>CZECH REPUBLIC ESTIC</v>
      </c>
      <c r="E747" s="2" t="str">
        <f xml:space="preserve"> _xll.EPMOlapMemberO("[AM2PARENTCUSTGROUP].[].[Mondelez]","","Mondelez","","000")</f>
        <v>Mondelez</v>
      </c>
      <c r="F747" s="2" t="str">
        <f xml:space="preserve"> _xll.EPMOlapMemberO("[KEY_FIGURES].[].[AM2ACTUALSHIPMENTS]","","Shipments","","000")</f>
        <v>Shipments</v>
      </c>
      <c r="O747" s="2">
        <v>585</v>
      </c>
      <c r="R747" s="2">
        <v>450</v>
      </c>
    </row>
    <row r="748" spans="1:22" x14ac:dyDescent="0.35">
      <c r="A748" s="2" t="str">
        <f xml:space="preserve"> _xll.EPMOlapMemberO("[LOCID].[].[Hamburg plant]","","Hamburg plant","","000")</f>
        <v>Hamburg plant</v>
      </c>
      <c r="B748" s="2" t="str">
        <f xml:space="preserve"> _xll.EPMOlapMemberO("[PRDID].[].[999-50654-0043]","","999-50654-0043","","000")</f>
        <v>999-50654-0043</v>
      </c>
      <c r="C748" s="2" t="str">
        <f xml:space="preserve"> _xll.EPMOlapMemberO("[BRAND].[].[ L&amp;M]",""," L&amp;M","","000")</f>
        <v xml:space="preserve"> L&amp;M</v>
      </c>
      <c r="D748" s="2" t="str">
        <f xml:space="preserve"> _xll.EPMOlapMemberO("[AM2MARKETDESCR].[].[CZECH REPUBLIC ESTIC]","","CZECH REPUBLIC ESTIC","","000")</f>
        <v>CZECH REPUBLIC ESTIC</v>
      </c>
      <c r="E748" s="2" t="str">
        <f xml:space="preserve"> _xll.EPMOlapMemberO("[AM2PARENTCUSTGROUP].[].[Mondelez]","","Mondelez","","000")</f>
        <v>Mondelez</v>
      </c>
      <c r="F748" s="2" t="str">
        <f xml:space="preserve"> _xll.EPMOlapMemberO("[KEY_FIGURES].[].[AM2ORDERINTAKE]","","Sales Order","","000")</f>
        <v>Sales Order</v>
      </c>
      <c r="O748" s="2">
        <v>720</v>
      </c>
      <c r="R748" s="2">
        <v>371.25</v>
      </c>
    </row>
    <row r="749" spans="1:22" x14ac:dyDescent="0.35">
      <c r="A749" s="2" t="str">
        <f xml:space="preserve"> _xll.EPMOlapMemberO("[LOCID].[].[Hamburg plant]","","Hamburg plant","","000")</f>
        <v>Hamburg plant</v>
      </c>
      <c r="B749" s="2" t="str">
        <f xml:space="preserve"> _xll.EPMOlapMemberO("[PRDID].[].[999-50654-0043]","","999-50654-0043","","000")</f>
        <v>999-50654-0043</v>
      </c>
      <c r="C749" s="2" t="str">
        <f xml:space="preserve"> _xll.EPMOlapMemberO("[BRAND].[].[ L&amp;M]",""," L&amp;M","","000")</f>
        <v xml:space="preserve"> L&amp;M</v>
      </c>
      <c r="D749" s="2" t="str">
        <f xml:space="preserve"> _xll.EPMOlapMemberO("[AM2MARKETDESCR].[].[CZECH REPUBLIC ESTIC]","","CZECH REPUBLIC ESTIC","","000")</f>
        <v>CZECH REPUBLIC ESTIC</v>
      </c>
      <c r="E749" s="2" t="str">
        <f xml:space="preserve"> _xll.EPMOlapMemberO("[AM2PARENTCUSTGROUP].[].[Mondelez]","","Mondelez","","000")</f>
        <v>Mondelez</v>
      </c>
      <c r="F749" s="2" t="str">
        <f xml:space="preserve"> _xll.EPMOlapMemberO("[KEY_FIGURES].[].[AM2ACTUALSHIPMENTS]","","Shipments","","000")</f>
        <v>Shipments</v>
      </c>
      <c r="O749" s="2">
        <v>720</v>
      </c>
      <c r="R749" s="2">
        <v>371.25</v>
      </c>
    </row>
    <row r="750" spans="1:22" x14ac:dyDescent="0.35">
      <c r="A750" s="2" t="str">
        <f xml:space="preserve"> _xll.EPMOlapMemberO("[LOCID].[].[Hamburg plant]","","Hamburg plant","","000")</f>
        <v>Hamburg plant</v>
      </c>
      <c r="B750" s="2" t="str">
        <f xml:space="preserve"> _xll.EPMOlapMemberO("[PRDID].[].[999-50654-0044]","","999-50654-0044","","000")</f>
        <v>999-50654-0044</v>
      </c>
      <c r="C750" s="2" t="str">
        <f xml:space="preserve"> _xll.EPMOlapMemberO("[BRAND].[].[ L&amp;M]",""," L&amp;M","","000")</f>
        <v xml:space="preserve"> L&amp;M</v>
      </c>
      <c r="D750" s="2" t="str">
        <f xml:space="preserve"> _xll.EPMOlapMemberO("[AM2MARKETDESCR].[].[SLOVAK REPUBLIC ]","","SLOVAK REPUBLIC ","","000")</f>
        <v xml:space="preserve">SLOVAK REPUBLIC </v>
      </c>
      <c r="E750" s="2" t="str">
        <f xml:space="preserve"> _xll.EPMOlapMemberO("[AM2PARENTCUSTGROUP].[].[Mondelez]","","Mondelez","","000")</f>
        <v>Mondelez</v>
      </c>
      <c r="F750" s="2" t="str">
        <f xml:space="preserve"> _xll.EPMOlapMemberO("[KEY_FIGURES].[].[AM2ORDERINTAKE]","","Sales Order","","000")</f>
        <v>Sales Order</v>
      </c>
      <c r="O750" s="2">
        <v>96</v>
      </c>
    </row>
    <row r="751" spans="1:22" x14ac:dyDescent="0.35">
      <c r="A751" s="2" t="str">
        <f xml:space="preserve"> _xll.EPMOlapMemberO("[LOCID].[].[Hamburg plant]","","Hamburg plant","","000")</f>
        <v>Hamburg plant</v>
      </c>
      <c r="B751" s="2" t="str">
        <f xml:space="preserve"> _xll.EPMOlapMemberO("[PRDID].[].[999-50654-0044]","","999-50654-0044","","000")</f>
        <v>999-50654-0044</v>
      </c>
      <c r="C751" s="2" t="str">
        <f xml:space="preserve"> _xll.EPMOlapMemberO("[BRAND].[].[ L&amp;M]",""," L&amp;M","","000")</f>
        <v xml:space="preserve"> L&amp;M</v>
      </c>
      <c r="D751" s="2" t="str">
        <f xml:space="preserve"> _xll.EPMOlapMemberO("[AM2MARKETDESCR].[].[SLOVAK REPUBLIC ]","","SLOVAK REPUBLIC ","","000")</f>
        <v xml:space="preserve">SLOVAK REPUBLIC </v>
      </c>
      <c r="E751" s="2" t="str">
        <f xml:space="preserve"> _xll.EPMOlapMemberO("[AM2PARENTCUSTGROUP].[].[Mondelez]","","Mondelez","","000")</f>
        <v>Mondelez</v>
      </c>
      <c r="F751" s="2" t="str">
        <f xml:space="preserve"> _xll.EPMOlapMemberO("[KEY_FIGURES].[].[AM2ACTUALSHIPMENTS]","","Shipments","","000")</f>
        <v>Shipments</v>
      </c>
      <c r="N751" s="2">
        <v>96</v>
      </c>
    </row>
    <row r="752" spans="1:22" x14ac:dyDescent="0.35">
      <c r="A752" s="2" t="str">
        <f xml:space="preserve"> _xll.EPMOlapMemberO("[LOCID].[].[Hamburg plant]","","Hamburg plant","","000")</f>
        <v>Hamburg plant</v>
      </c>
      <c r="B752" s="2" t="str">
        <f xml:space="preserve"> _xll.EPMOlapMemberO("[PRDID].[].[999-50654-0045]","","999-50654-0045","","000")</f>
        <v>999-50654-0045</v>
      </c>
      <c r="C752" s="2" t="str">
        <f xml:space="preserve"> _xll.EPMOlapMemberO("[BRAND].[].[ L&amp;M]",""," L&amp;M","","000")</f>
        <v xml:space="preserve"> L&amp;M</v>
      </c>
      <c r="D752" s="2" t="str">
        <f xml:space="preserve"> _xll.EPMOlapMemberO("[AM2MARKETDESCR].[].[SLOVAK REPUBLIC ]","","SLOVAK REPUBLIC ","","000")</f>
        <v xml:space="preserve">SLOVAK REPUBLIC </v>
      </c>
      <c r="E752" s="2" t="str">
        <f xml:space="preserve"> _xll.EPMOlapMemberO("[AM2PARENTCUSTGROUP].[].[Mondelez]","","Mondelez","","000")</f>
        <v>Mondelez</v>
      </c>
      <c r="F752" s="2" t="str">
        <f xml:space="preserve"> _xll.EPMOlapMemberO("[KEY_FIGURES].[].[AM2ORDERINTAKE]","","Sales Order","","000")</f>
        <v>Sales Order</v>
      </c>
      <c r="O752" s="2">
        <v>864</v>
      </c>
      <c r="Q752" s="2">
        <v>720</v>
      </c>
    </row>
    <row r="753" spans="1:24" x14ac:dyDescent="0.35">
      <c r="A753" s="2" t="str">
        <f xml:space="preserve"> _xll.EPMOlapMemberO("[LOCID].[].[Hamburg plant]","","Hamburg plant","","000")</f>
        <v>Hamburg plant</v>
      </c>
      <c r="B753" s="2" t="str">
        <f xml:space="preserve"> _xll.EPMOlapMemberO("[PRDID].[].[999-50654-0045]","","999-50654-0045","","000")</f>
        <v>999-50654-0045</v>
      </c>
      <c r="C753" s="2" t="str">
        <f xml:space="preserve"> _xll.EPMOlapMemberO("[BRAND].[].[ L&amp;M]",""," L&amp;M","","000")</f>
        <v xml:space="preserve"> L&amp;M</v>
      </c>
      <c r="D753" s="2" t="str">
        <f xml:space="preserve"> _xll.EPMOlapMemberO("[AM2MARKETDESCR].[].[SLOVAK REPUBLIC ]","","SLOVAK REPUBLIC ","","000")</f>
        <v xml:space="preserve">SLOVAK REPUBLIC </v>
      </c>
      <c r="E753" s="2" t="str">
        <f xml:space="preserve"> _xll.EPMOlapMemberO("[AM2PARENTCUSTGROUP].[].[Mondelez]","","Mondelez","","000")</f>
        <v>Mondelez</v>
      </c>
      <c r="F753" s="2" t="str">
        <f xml:space="preserve"> _xll.EPMOlapMemberO("[KEY_FIGURES].[].[AM2ACTUALSHIPMENTS]","","Shipments","","000")</f>
        <v>Shipments</v>
      </c>
      <c r="O753" s="2">
        <v>864</v>
      </c>
      <c r="Q753" s="2">
        <v>720</v>
      </c>
    </row>
    <row r="754" spans="1:24" x14ac:dyDescent="0.35">
      <c r="A754" s="2" t="str">
        <f xml:space="preserve"> _xll.EPMOlapMemberO("[LOCID].[].[Hamburg plant]","","Hamburg plant","","000")</f>
        <v>Hamburg plant</v>
      </c>
      <c r="B754" s="2" t="str">
        <f xml:space="preserve"> _xll.EPMOlapMemberO("[PRDID].[].[999-50654-0046]","","999-50654-0046","","000")</f>
        <v>999-50654-0046</v>
      </c>
      <c r="C754" s="2" t="str">
        <f xml:space="preserve"> _xll.EPMOlapMemberO("[BRAND].[].[ L&amp;M]",""," L&amp;M","","000")</f>
        <v xml:space="preserve"> L&amp;M</v>
      </c>
      <c r="D754" s="2" t="str">
        <f xml:space="preserve"> _xll.EPMOlapMemberO("[AM2MARKETDESCR].[].[SLOVAK REPUBLIC ]","","SLOVAK REPUBLIC ","","000")</f>
        <v xml:space="preserve">SLOVAK REPUBLIC </v>
      </c>
      <c r="E754" s="2" t="str">
        <f xml:space="preserve"> _xll.EPMOlapMemberO("[AM2PARENTCUSTGROUP].[].[Mondelez]","","Mondelez","","000")</f>
        <v>Mondelez</v>
      </c>
      <c r="F754" s="2" t="str">
        <f xml:space="preserve"> _xll.EPMOlapMemberO("[KEY_FIGURES].[].[AM2ORDERINTAKE]","","Sales Order","","000")</f>
        <v>Sales Order</v>
      </c>
      <c r="O754" s="2">
        <v>96</v>
      </c>
    </row>
    <row r="755" spans="1:24" x14ac:dyDescent="0.35">
      <c r="A755" s="2" t="str">
        <f xml:space="preserve"> _xll.EPMOlapMemberO("[LOCID].[].[Hamburg plant]","","Hamburg plant","","000")</f>
        <v>Hamburg plant</v>
      </c>
      <c r="B755" s="2" t="str">
        <f xml:space="preserve"> _xll.EPMOlapMemberO("[PRDID].[].[999-50654-0046]","","999-50654-0046","","000")</f>
        <v>999-50654-0046</v>
      </c>
      <c r="C755" s="2" t="str">
        <f xml:space="preserve"> _xll.EPMOlapMemberO("[BRAND].[].[ L&amp;M]",""," L&amp;M","","000")</f>
        <v xml:space="preserve"> L&amp;M</v>
      </c>
      <c r="D755" s="2" t="str">
        <f xml:space="preserve"> _xll.EPMOlapMemberO("[AM2MARKETDESCR].[].[SLOVAK REPUBLIC ]","","SLOVAK REPUBLIC ","","000")</f>
        <v xml:space="preserve">SLOVAK REPUBLIC </v>
      </c>
      <c r="E755" s="2" t="str">
        <f xml:space="preserve"> _xll.EPMOlapMemberO("[AM2PARENTCUSTGROUP].[].[Mondelez]","","Mondelez","","000")</f>
        <v>Mondelez</v>
      </c>
      <c r="F755" s="2" t="str">
        <f xml:space="preserve"> _xll.EPMOlapMemberO("[KEY_FIGURES].[].[AM2ACTUALSHIPMENTS]","","Shipments","","000")</f>
        <v>Shipments</v>
      </c>
      <c r="O755" s="2">
        <v>96</v>
      </c>
    </row>
    <row r="756" spans="1:24" x14ac:dyDescent="0.35">
      <c r="A756" s="2" t="str">
        <f xml:space="preserve"> _xll.EPMOlapMemberO("[LOCID].[].[Hamburg plant]","","Hamburg plant","","000")</f>
        <v>Hamburg plant</v>
      </c>
      <c r="B756" s="2" t="str">
        <f xml:space="preserve"> _xll.EPMOlapMemberO("[PRDID].[].[999-50654-0047]","","999-50654-0047","","000")</f>
        <v>999-50654-0047</v>
      </c>
      <c r="C756" s="2" t="str">
        <f xml:space="preserve"> _xll.EPMOlapMemberO("[BRAND].[].[ L&amp;M]",""," L&amp;M","","000")</f>
        <v xml:space="preserve"> L&amp;M</v>
      </c>
      <c r="D756" s="2" t="str">
        <f xml:space="preserve"> _xll.EPMOlapMemberO("[AM2MARKETDESCR].[].[SLOVAK REPUBLIC ]","","SLOVAK REPUBLIC ","","000")</f>
        <v xml:space="preserve">SLOVAK REPUBLIC </v>
      </c>
      <c r="E756" s="2" t="str">
        <f xml:space="preserve"> _xll.EPMOlapMemberO("[AM2PARENTCUSTGROUP].[].[Mondelez]","","Mondelez","","000")</f>
        <v>Mondelez</v>
      </c>
      <c r="F756" s="2" t="str">
        <f xml:space="preserve"> _xll.EPMOlapMemberO("[KEY_FIGURES].[].[AM2ORDERINTAKE]","","Sales Order","","000")</f>
        <v>Sales Order</v>
      </c>
      <c r="O756" s="2">
        <v>432</v>
      </c>
      <c r="Q756" s="2">
        <v>288</v>
      </c>
      <c r="T756" s="2">
        <v>315</v>
      </c>
    </row>
    <row r="757" spans="1:24" x14ac:dyDescent="0.35">
      <c r="A757" s="2" t="str">
        <f xml:space="preserve"> _xll.EPMOlapMemberO("[LOCID].[].[Hamburg plant]","","Hamburg plant","","000")</f>
        <v>Hamburg plant</v>
      </c>
      <c r="B757" s="2" t="str">
        <f xml:space="preserve"> _xll.EPMOlapMemberO("[PRDID].[].[999-50654-0047]","","999-50654-0047","","000")</f>
        <v>999-50654-0047</v>
      </c>
      <c r="C757" s="2" t="str">
        <f xml:space="preserve"> _xll.EPMOlapMemberO("[BRAND].[].[ L&amp;M]",""," L&amp;M","","000")</f>
        <v xml:space="preserve"> L&amp;M</v>
      </c>
      <c r="D757" s="2" t="str">
        <f xml:space="preserve"> _xll.EPMOlapMemberO("[AM2MARKETDESCR].[].[SLOVAK REPUBLIC ]","","SLOVAK REPUBLIC ","","000")</f>
        <v xml:space="preserve">SLOVAK REPUBLIC </v>
      </c>
      <c r="E757" s="2" t="str">
        <f xml:space="preserve"> _xll.EPMOlapMemberO("[AM2PARENTCUSTGROUP].[].[Mondelez]","","Mondelez","","000")</f>
        <v>Mondelez</v>
      </c>
      <c r="F757" s="2" t="str">
        <f xml:space="preserve"> _xll.EPMOlapMemberO("[KEY_FIGURES].[].[AM2ACTUALSHIPMENTS]","","Shipments","","000")</f>
        <v>Shipments</v>
      </c>
      <c r="O757" s="2">
        <v>432</v>
      </c>
      <c r="Q757" s="2">
        <v>288</v>
      </c>
      <c r="U757" s="2">
        <v>315</v>
      </c>
    </row>
    <row r="758" spans="1:24" x14ac:dyDescent="0.35">
      <c r="A758" s="2" t="str">
        <f xml:space="preserve"> _xll.EPMOlapMemberO("[LOCID].[].[Hamburg plant]","","Hamburg plant","","000")</f>
        <v>Hamburg plant</v>
      </c>
      <c r="B758" s="2" t="str">
        <f xml:space="preserve"> _xll.EPMOlapMemberO("[PRDID].[].[999-50654-0048]","","999-50654-0048","","000")</f>
        <v>999-50654-0048</v>
      </c>
      <c r="C758" s="2" t="str">
        <f xml:space="preserve"> _xll.EPMOlapMemberO("[BRAND].[].[ L&amp;M]",""," L&amp;M","","000")</f>
        <v xml:space="preserve"> L&amp;M</v>
      </c>
      <c r="D758" s="2" t="str">
        <f xml:space="preserve"> _xll.EPMOlapMemberO("[AM2MARKETDESCR].[].[SLOVAK REPUBLIC ]","","SLOVAK REPUBLIC ","","000")</f>
        <v xml:space="preserve">SLOVAK REPUBLIC </v>
      </c>
      <c r="E758" s="2" t="str">
        <f xml:space="preserve"> _xll.EPMOlapMemberO("[AM2PARENTCUSTGROUP].[].[Mondelez]","","Mondelez","","000")</f>
        <v>Mondelez</v>
      </c>
      <c r="F758" s="2" t="str">
        <f xml:space="preserve"> _xll.EPMOlapMemberO("[KEY_FIGURES].[].[AM2ORDERINTAKE]","","Sales Order","","000")</f>
        <v>Sales Order</v>
      </c>
      <c r="O758" s="2">
        <v>36</v>
      </c>
    </row>
    <row r="759" spans="1:24" x14ac:dyDescent="0.35">
      <c r="A759" s="2" t="str">
        <f xml:space="preserve"> _xll.EPMOlapMemberO("[LOCID].[].[Hamburg plant]","","Hamburg plant","","000")</f>
        <v>Hamburg plant</v>
      </c>
      <c r="B759" s="2" t="str">
        <f xml:space="preserve"> _xll.EPMOlapMemberO("[PRDID].[].[999-50654-0048]","","999-50654-0048","","000")</f>
        <v>999-50654-0048</v>
      </c>
      <c r="C759" s="2" t="str">
        <f xml:space="preserve"> _xll.EPMOlapMemberO("[BRAND].[].[ L&amp;M]",""," L&amp;M","","000")</f>
        <v xml:space="preserve"> L&amp;M</v>
      </c>
      <c r="D759" s="2" t="str">
        <f xml:space="preserve"> _xll.EPMOlapMemberO("[AM2MARKETDESCR].[].[SLOVAK REPUBLIC ]","","SLOVAK REPUBLIC ","","000")</f>
        <v xml:space="preserve">SLOVAK REPUBLIC </v>
      </c>
      <c r="E759" s="2" t="str">
        <f xml:space="preserve"> _xll.EPMOlapMemberO("[AM2PARENTCUSTGROUP].[].[Mondelez]","","Mondelez","","000")</f>
        <v>Mondelez</v>
      </c>
      <c r="F759" s="2" t="str">
        <f xml:space="preserve"> _xll.EPMOlapMemberO("[KEY_FIGURES].[].[AM2ACTUALSHIPMENTS]","","Shipments","","000")</f>
        <v>Shipments</v>
      </c>
      <c r="O759" s="2">
        <v>36</v>
      </c>
    </row>
    <row r="760" spans="1:24" x14ac:dyDescent="0.35">
      <c r="A760" s="2" t="str">
        <f xml:space="preserve"> _xll.EPMOlapMemberO("[LOCID].[].[Hamburg plant]","","Hamburg plant","","000")</f>
        <v>Hamburg plant</v>
      </c>
      <c r="B760" s="2" t="str">
        <f xml:space="preserve"> _xll.EPMOlapMemberO("[PRDID].[].[999-50654-0049]","","999-50654-0049","","000")</f>
        <v>999-50654-0049</v>
      </c>
      <c r="C760" s="2" t="str">
        <f xml:space="preserve"> _xll.EPMOlapMemberO("[BRAND].[].[ L&amp;M]",""," L&amp;M","","000")</f>
        <v xml:space="preserve"> L&amp;M</v>
      </c>
      <c r="D760" s="2" t="str">
        <f xml:space="preserve"> _xll.EPMOlapMemberO("[AM2MARKETDESCR].[].[SLOVAK REPUBLIC ]","","SLOVAK REPUBLIC ","","000")</f>
        <v xml:space="preserve">SLOVAK REPUBLIC </v>
      </c>
      <c r="E760" s="2" t="str">
        <f xml:space="preserve"> _xll.EPMOlapMemberO("[AM2PARENTCUSTGROUP].[].[Mondelez]","","Mondelez","","000")</f>
        <v>Mondelez</v>
      </c>
      <c r="F760" s="2" t="str">
        <f xml:space="preserve"> _xll.EPMOlapMemberO("[KEY_FIGURES].[].[AM2ORDERINTAKE]","","Sales Order","","000")</f>
        <v>Sales Order</v>
      </c>
      <c r="O760" s="2">
        <v>1440</v>
      </c>
      <c r="P760" s="2">
        <v>2016</v>
      </c>
      <c r="S760" s="2">
        <v>2047.5</v>
      </c>
      <c r="U760" s="2">
        <v>2679</v>
      </c>
      <c r="W760" s="2">
        <v>292.5</v>
      </c>
    </row>
    <row r="761" spans="1:24" x14ac:dyDescent="0.35">
      <c r="A761" s="2" t="str">
        <f xml:space="preserve"> _xll.EPMOlapMemberO("[LOCID].[].[Hamburg plant]","","Hamburg plant","","000")</f>
        <v>Hamburg plant</v>
      </c>
      <c r="B761" s="2" t="str">
        <f xml:space="preserve"> _xll.EPMOlapMemberO("[PRDID].[].[999-50654-0049]","","999-50654-0049","","000")</f>
        <v>999-50654-0049</v>
      </c>
      <c r="C761" s="2" t="str">
        <f xml:space="preserve"> _xll.EPMOlapMemberO("[BRAND].[].[ L&amp;M]",""," L&amp;M","","000")</f>
        <v xml:space="preserve"> L&amp;M</v>
      </c>
      <c r="D761" s="2" t="str">
        <f xml:space="preserve"> _xll.EPMOlapMemberO("[AM2MARKETDESCR].[].[SLOVAK REPUBLIC ]","","SLOVAK REPUBLIC ","","000")</f>
        <v xml:space="preserve">SLOVAK REPUBLIC </v>
      </c>
      <c r="E761" s="2" t="str">
        <f xml:space="preserve"> _xll.EPMOlapMemberO("[AM2PARENTCUSTGROUP].[].[Mondelez]","","Mondelez","","000")</f>
        <v>Mondelez</v>
      </c>
      <c r="F761" s="2" t="str">
        <f xml:space="preserve"> _xll.EPMOlapMemberO("[KEY_FIGURES].[].[AM2ACTUALSHIPMENTS]","","Shipments","","000")</f>
        <v>Shipments</v>
      </c>
      <c r="O761" s="2">
        <v>288</v>
      </c>
      <c r="P761" s="2">
        <v>1728</v>
      </c>
      <c r="Q761" s="2">
        <v>288</v>
      </c>
      <c r="S761" s="2">
        <v>2036.25</v>
      </c>
      <c r="U761" s="2">
        <v>1959</v>
      </c>
      <c r="V761" s="2">
        <v>720</v>
      </c>
      <c r="W761" s="2">
        <v>288</v>
      </c>
    </row>
    <row r="762" spans="1:24" x14ac:dyDescent="0.35">
      <c r="A762" s="2" t="str">
        <f xml:space="preserve"> _xll.EPMOlapMemberO("[LOCID].[].[Hamburg plant]","","Hamburg plant","","000")</f>
        <v>Hamburg plant</v>
      </c>
      <c r="B762" s="2" t="str">
        <f xml:space="preserve"> _xll.EPMOlapMemberO("[PRDID].[].[999-50654-0050]","","999-50654-0050","","000")</f>
        <v>999-50654-0050</v>
      </c>
      <c r="C762" s="2" t="str">
        <f xml:space="preserve"> _xll.EPMOlapMemberO("[BRAND].[].[ L&amp;M]",""," L&amp;M","","000")</f>
        <v xml:space="preserve"> L&amp;M</v>
      </c>
      <c r="D762" s="2" t="str">
        <f xml:space="preserve"> _xll.EPMOlapMemberO("[AM2MARKETDESCR].[].[SLOVAK REPUBLIC ]","","SLOVAK REPUBLIC ","","000")</f>
        <v xml:space="preserve">SLOVAK REPUBLIC </v>
      </c>
      <c r="E762" s="2" t="str">
        <f xml:space="preserve"> _xll.EPMOlapMemberO("[AM2PARENTCUSTGROUP].[].[Mondelez]","","Mondelez","","000")</f>
        <v>Mondelez</v>
      </c>
      <c r="F762" s="2" t="str">
        <f xml:space="preserve"> _xll.EPMOlapMemberO("[KEY_FIGURES].[].[AM2ORDERINTAKE]","","Sales Order","","000")</f>
        <v>Sales Order</v>
      </c>
      <c r="O762" s="2">
        <v>1584</v>
      </c>
      <c r="S762" s="2">
        <v>787.5</v>
      </c>
      <c r="U762" s="2">
        <v>1260</v>
      </c>
      <c r="W762" s="2">
        <v>405</v>
      </c>
    </row>
    <row r="763" spans="1:24" x14ac:dyDescent="0.35">
      <c r="A763" s="2" t="str">
        <f xml:space="preserve"> _xll.EPMOlapMemberO("[LOCID].[].[Hamburg plant]","","Hamburg plant","","000")</f>
        <v>Hamburg plant</v>
      </c>
      <c r="B763" s="2" t="str">
        <f xml:space="preserve"> _xll.EPMOlapMemberO("[PRDID].[].[999-50654-0050]","","999-50654-0050","","000")</f>
        <v>999-50654-0050</v>
      </c>
      <c r="C763" s="2" t="str">
        <f xml:space="preserve"> _xll.EPMOlapMemberO("[BRAND].[].[ L&amp;M]",""," L&amp;M","","000")</f>
        <v xml:space="preserve"> L&amp;M</v>
      </c>
      <c r="D763" s="2" t="str">
        <f xml:space="preserve"> _xll.EPMOlapMemberO("[AM2MARKETDESCR].[].[SLOVAK REPUBLIC ]","","SLOVAK REPUBLIC ","","000")</f>
        <v xml:space="preserve">SLOVAK REPUBLIC </v>
      </c>
      <c r="E763" s="2" t="str">
        <f xml:space="preserve"> _xll.EPMOlapMemberO("[AM2PARENTCUSTGROUP].[].[Mondelez]","","Mondelez","","000")</f>
        <v>Mondelez</v>
      </c>
      <c r="F763" s="2" t="str">
        <f xml:space="preserve"> _xll.EPMOlapMemberO("[KEY_FIGURES].[].[AM2ACTUALSHIPMENTS]","","Shipments","","000")</f>
        <v>Shipments</v>
      </c>
      <c r="O763" s="2">
        <v>1584</v>
      </c>
      <c r="S763" s="2">
        <v>787.5</v>
      </c>
      <c r="U763" s="2">
        <v>1260</v>
      </c>
      <c r="W763" s="2">
        <v>405</v>
      </c>
    </row>
    <row r="764" spans="1:24" x14ac:dyDescent="0.35">
      <c r="A764" s="2" t="str">
        <f xml:space="preserve"> _xll.EPMOlapMemberO("[LOCID].[].[Hamburg plant]","","Hamburg plant","","000")</f>
        <v>Hamburg plant</v>
      </c>
      <c r="B764" s="2" t="str">
        <f xml:space="preserve"> _xll.EPMOlapMemberO("[PRDID].[].[999-50654-0051]","","999-50654-0051","","000")</f>
        <v>999-50654-0051</v>
      </c>
      <c r="C764" s="2" t="str">
        <f xml:space="preserve"> _xll.EPMOlapMemberO("[BRAND].[].[ L&amp;M]",""," L&amp;M","","000")</f>
        <v xml:space="preserve"> L&amp;M</v>
      </c>
      <c r="D764" s="2" t="str">
        <f xml:space="preserve"> _xll.EPMOlapMemberO("[AM2MARKETDESCR].[].[GREEK CYPRUS ]","","GREEK CYPRUS ","","000")</f>
        <v xml:space="preserve">GREEK CYPRUS </v>
      </c>
      <c r="E764" s="2" t="str">
        <f xml:space="preserve"> _xll.EPMOlapMemberO("[AM2PARENTCUSTGROUP].[].[Mondelez]","","Mondelez","","000")</f>
        <v>Mondelez</v>
      </c>
      <c r="F764" s="2" t="str">
        <f xml:space="preserve"> _xll.EPMOlapMemberO("[KEY_FIGURES].[].[AM2ORDERINTAKE]","","Sales Order","","000")</f>
        <v>Sales Order</v>
      </c>
      <c r="P764" s="2">
        <v>65.454545999999993</v>
      </c>
      <c r="T764" s="2">
        <v>120</v>
      </c>
    </row>
    <row r="765" spans="1:24" x14ac:dyDescent="0.35">
      <c r="A765" s="2" t="str">
        <f xml:space="preserve"> _xll.EPMOlapMemberO("[LOCID].[].[Hamburg plant]","","Hamburg plant","","000")</f>
        <v>Hamburg plant</v>
      </c>
      <c r="B765" s="2" t="str">
        <f xml:space="preserve"> _xll.EPMOlapMemberO("[PRDID].[].[999-50654-0051]","","999-50654-0051","","000")</f>
        <v>999-50654-0051</v>
      </c>
      <c r="C765" s="2" t="str">
        <f xml:space="preserve"> _xll.EPMOlapMemberO("[BRAND].[].[ L&amp;M]",""," L&amp;M","","000")</f>
        <v xml:space="preserve"> L&amp;M</v>
      </c>
      <c r="D765" s="2" t="str">
        <f xml:space="preserve"> _xll.EPMOlapMemberO("[AM2MARKETDESCR].[].[GREEK CYPRUS ]","","GREEK CYPRUS ","","000")</f>
        <v xml:space="preserve">GREEK CYPRUS </v>
      </c>
      <c r="E765" s="2" t="str">
        <f xml:space="preserve"> _xll.EPMOlapMemberO("[AM2PARENTCUSTGROUP].[].[Mondelez]","","Mondelez","","000")</f>
        <v>Mondelez</v>
      </c>
      <c r="F765" s="2" t="str">
        <f xml:space="preserve"> _xll.EPMOlapMemberO("[KEY_FIGURES].[].[AM2ACTUALSHIPMENTS]","","Shipments","","000")</f>
        <v>Shipments</v>
      </c>
      <c r="P765" s="2">
        <v>144</v>
      </c>
      <c r="T765" s="2">
        <v>120</v>
      </c>
    </row>
    <row r="766" spans="1:24" x14ac:dyDescent="0.35">
      <c r="A766" s="2" t="str">
        <f xml:space="preserve"> _xll.EPMOlapMemberO("[LOCID].[].[Hamburg plant]","","Hamburg plant","","000")</f>
        <v>Hamburg plant</v>
      </c>
      <c r="B766" s="2" t="str">
        <f xml:space="preserve"> _xll.EPMOlapMemberO("[PRDID].[].[999-50654-0052]","","999-50654-0052","","000")</f>
        <v>999-50654-0052</v>
      </c>
      <c r="C766" s="2" t="str">
        <f xml:space="preserve"> _xll.EPMOlapMemberO("[BRAND].[].[ L&amp;M]",""," L&amp;M","","000")</f>
        <v xml:space="preserve"> L&amp;M</v>
      </c>
      <c r="D766" s="2" t="str">
        <f xml:space="preserve"> _xll.EPMOlapMemberO("[AM2MARKETDESCR].[].[SLOVAK REPUBLIC ]","","SLOVAK REPUBLIC ","","000")</f>
        <v xml:space="preserve">SLOVAK REPUBLIC </v>
      </c>
      <c r="E766" s="2" t="str">
        <f xml:space="preserve"> _xll.EPMOlapMemberO("[AM2PARENTCUSTGROUP].[].[Mondelez]","","Mondelez","","000")</f>
        <v>Mondelez</v>
      </c>
      <c r="F766" s="2" t="str">
        <f xml:space="preserve"> _xll.EPMOlapMemberO("[KEY_FIGURES].[].[AM2ORDERINTAKE]","","Sales Order","","000")</f>
        <v>Sales Order</v>
      </c>
      <c r="X766" s="2">
        <v>1680</v>
      </c>
    </row>
    <row r="767" spans="1:24" x14ac:dyDescent="0.35">
      <c r="A767" s="2" t="str">
        <f xml:space="preserve"> _xll.EPMOlapMemberO("[LOCID].[].[Hamburg plant]","","Hamburg plant","","000")</f>
        <v>Hamburg plant</v>
      </c>
      <c r="B767" s="2" t="str">
        <f xml:space="preserve"> _xll.EPMOlapMemberO("[PRDID].[].[999-50654-0052]","","999-50654-0052","","000")</f>
        <v>999-50654-0052</v>
      </c>
      <c r="C767" s="2" t="str">
        <f xml:space="preserve"> _xll.EPMOlapMemberO("[BRAND].[].[ L&amp;M]",""," L&amp;M","","000")</f>
        <v xml:space="preserve"> L&amp;M</v>
      </c>
      <c r="D767" s="2" t="str">
        <f xml:space="preserve"> _xll.EPMOlapMemberO("[AM2MARKETDESCR].[].[SLOVAK REPUBLIC ]","","SLOVAK REPUBLIC ","","000")</f>
        <v xml:space="preserve">SLOVAK REPUBLIC </v>
      </c>
      <c r="E767" s="2" t="str">
        <f xml:space="preserve"> _xll.EPMOlapMemberO("[AM2PARENTCUSTGROUP].[].[Mondelez]","","Mondelez","","000")</f>
        <v>Mondelez</v>
      </c>
      <c r="F767" s="2" t="str">
        <f xml:space="preserve"> _xll.EPMOlapMemberO("[KEY_FIGURES].[].[AM2ACTUALSHIPMENTS]","","Shipments","","000")</f>
        <v>Shipments</v>
      </c>
      <c r="X767" s="2">
        <v>1680</v>
      </c>
    </row>
    <row r="768" spans="1:24" x14ac:dyDescent="0.35">
      <c r="A768" s="2" t="str">
        <f xml:space="preserve"> _xll.EPMOlapMemberO("[LOCID].[].[Hamburg plant]","","Hamburg plant","","000")</f>
        <v>Hamburg plant</v>
      </c>
      <c r="B768" s="2" t="str">
        <f xml:space="preserve"> _xll.EPMOlapMemberO("[PRDID].[].[999-50654-0054]","","999-50654-0054","","000")</f>
        <v>999-50654-0054</v>
      </c>
      <c r="C768" s="2" t="str">
        <f xml:space="preserve"> _xll.EPMOlapMemberO("[BRAND].[].[ L&amp;M]",""," L&amp;M","","000")</f>
        <v xml:space="preserve"> L&amp;M</v>
      </c>
      <c r="D768" s="2" t="str">
        <f xml:space="preserve"> _xll.EPMOlapMemberO("[AM2MARKETDESCR].[].[SLOVAK REPUBLIC ]","","SLOVAK REPUBLIC ","","000")</f>
        <v xml:space="preserve">SLOVAK REPUBLIC </v>
      </c>
      <c r="E768" s="2" t="str">
        <f xml:space="preserve"> _xll.EPMOlapMemberO("[AM2PARENTCUSTGROUP].[].[Mondelez]","","Mondelez","","000")</f>
        <v>Mondelez</v>
      </c>
      <c r="F768" s="2" t="str">
        <f xml:space="preserve"> _xll.EPMOlapMemberO("[KEY_FIGURES].[].[AM2ORDERINTAKE]","","Sales Order","","000")</f>
        <v>Sales Order</v>
      </c>
      <c r="U768" s="2">
        <v>1008</v>
      </c>
      <c r="X768" s="2">
        <v>1296</v>
      </c>
    </row>
    <row r="769" spans="1:31" x14ac:dyDescent="0.35">
      <c r="A769" s="2" t="str">
        <f xml:space="preserve"> _xll.EPMOlapMemberO("[LOCID].[].[Hamburg plant]","","Hamburg plant","","000")</f>
        <v>Hamburg plant</v>
      </c>
      <c r="B769" s="2" t="str">
        <f xml:space="preserve"> _xll.EPMOlapMemberO("[PRDID].[].[999-50654-0054]","","999-50654-0054","","000")</f>
        <v>999-50654-0054</v>
      </c>
      <c r="C769" s="2" t="str">
        <f xml:space="preserve"> _xll.EPMOlapMemberO("[BRAND].[].[ L&amp;M]",""," L&amp;M","","000")</f>
        <v xml:space="preserve"> L&amp;M</v>
      </c>
      <c r="D769" s="2" t="str">
        <f xml:space="preserve"> _xll.EPMOlapMemberO("[AM2MARKETDESCR].[].[SLOVAK REPUBLIC ]","","SLOVAK REPUBLIC ","","000")</f>
        <v xml:space="preserve">SLOVAK REPUBLIC </v>
      </c>
      <c r="E769" s="2" t="str">
        <f xml:space="preserve"> _xll.EPMOlapMemberO("[AM2PARENTCUSTGROUP].[].[Mondelez]","","Mondelez","","000")</f>
        <v>Mondelez</v>
      </c>
      <c r="F769" s="2" t="str">
        <f xml:space="preserve"> _xll.EPMOlapMemberO("[KEY_FIGURES].[].[AM2ACTUALSHIPMENTS]","","Shipments","","000")</f>
        <v>Shipments</v>
      </c>
      <c r="U769" s="2">
        <v>1008</v>
      </c>
      <c r="X769" s="2">
        <v>1296</v>
      </c>
    </row>
    <row r="770" spans="1:31" x14ac:dyDescent="0.35">
      <c r="A770" s="2" t="str">
        <f xml:space="preserve"> _xll.EPMOlapMemberO("[LOCID].[].[Hamburg plant]","","Hamburg plant","","000")</f>
        <v>Hamburg plant</v>
      </c>
      <c r="B770" s="2" t="str">
        <f xml:space="preserve"> _xll.EPMOlapMemberO("[PRDID].[].[999-50654-0056]","","999-50654-0056","","000")</f>
        <v>999-50654-0056</v>
      </c>
      <c r="C770" s="2" t="str">
        <f xml:space="preserve"> _xll.EPMOlapMemberO("[BRAND].[].[ L&amp;M]",""," L&amp;M","","000")</f>
        <v xml:space="preserve"> L&amp;M</v>
      </c>
      <c r="D770" s="2" t="str">
        <f xml:space="preserve"> _xll.EPMOlapMemberO("[AM2MARKETDESCR].[].[CZECH REPUBLIC ESTIC]","","CZECH REPUBLIC ESTIC","","000")</f>
        <v>CZECH REPUBLIC ESTIC</v>
      </c>
      <c r="E770" s="2" t="str">
        <f xml:space="preserve"> _xll.EPMOlapMemberO("[AM2PARENTCUSTGROUP].[].[Mondelez]","","Mondelez","","000")</f>
        <v>Mondelez</v>
      </c>
      <c r="F770" s="2" t="str">
        <f xml:space="preserve"> _xll.EPMOlapMemberO("[KEY_FIGURES].[].[AM2ORDERINTAKE]","","Sales Order","","000")</f>
        <v>Sales Order</v>
      </c>
      <c r="T770" s="2">
        <v>630</v>
      </c>
      <c r="X770" s="2">
        <v>360</v>
      </c>
    </row>
    <row r="771" spans="1:31" x14ac:dyDescent="0.35">
      <c r="A771" s="2" t="str">
        <f xml:space="preserve"> _xll.EPMOlapMemberO("[LOCID].[].[Hamburg plant]","","Hamburg plant","","000")</f>
        <v>Hamburg plant</v>
      </c>
      <c r="B771" s="2" t="str">
        <f xml:space="preserve"> _xll.EPMOlapMemberO("[PRDID].[].[999-50654-0056]","","999-50654-0056","","000")</f>
        <v>999-50654-0056</v>
      </c>
      <c r="C771" s="2" t="str">
        <f xml:space="preserve"> _xll.EPMOlapMemberO("[BRAND].[].[ L&amp;M]",""," L&amp;M","","000")</f>
        <v xml:space="preserve"> L&amp;M</v>
      </c>
      <c r="D771" s="2" t="str">
        <f xml:space="preserve"> _xll.EPMOlapMemberO("[AM2MARKETDESCR].[].[CZECH REPUBLIC ESTIC]","","CZECH REPUBLIC ESTIC","","000")</f>
        <v>CZECH REPUBLIC ESTIC</v>
      </c>
      <c r="E771" s="2" t="str">
        <f xml:space="preserve"> _xll.EPMOlapMemberO("[AM2PARENTCUSTGROUP].[].[Mondelez]","","Mondelez","","000")</f>
        <v>Mondelez</v>
      </c>
      <c r="F771" s="2" t="str">
        <f xml:space="preserve"> _xll.EPMOlapMemberO("[KEY_FIGURES].[].[AM2ACTUALSHIPMENTS]","","Shipments","","000")</f>
        <v>Shipments</v>
      </c>
      <c r="T771" s="2">
        <v>630</v>
      </c>
      <c r="X771" s="2">
        <v>360</v>
      </c>
    </row>
    <row r="772" spans="1:31" x14ac:dyDescent="0.35">
      <c r="A772" s="2" t="str">
        <f xml:space="preserve"> _xll.EPMOlapMemberO("[LOCID].[].[Hamburg plant]","","Hamburg plant","","000")</f>
        <v>Hamburg plant</v>
      </c>
      <c r="B772" s="2" t="str">
        <f xml:space="preserve"> _xll.EPMOlapMemberO("[PRDID].[].[999-50654-0057]","","999-50654-0057","","000")</f>
        <v>999-50654-0057</v>
      </c>
      <c r="C772" s="2" t="str">
        <f xml:space="preserve"> _xll.EPMOlapMemberO("[BRAND].[].[ L&amp;M]",""," L&amp;M","","000")</f>
        <v xml:space="preserve"> L&amp;M</v>
      </c>
      <c r="D772" s="2" t="str">
        <f xml:space="preserve"> _xll.EPMOlapMemberO("[AM2MARKETDESCR].[].[CZECH REPUBLIC ESTIC]","","CZECH REPUBLIC ESTIC","","000")</f>
        <v>CZECH REPUBLIC ESTIC</v>
      </c>
      <c r="E772" s="2" t="str">
        <f xml:space="preserve"> _xll.EPMOlapMemberO("[AM2PARENTCUSTGROUP].[].[Mondelez]","","Mondelez","","000")</f>
        <v>Mondelez</v>
      </c>
      <c r="F772" s="2" t="str">
        <f xml:space="preserve"> _xll.EPMOlapMemberO("[KEY_FIGURES].[].[AM2ORDERINTAKE]","","Sales Order","","000")</f>
        <v>Sales Order</v>
      </c>
      <c r="T772" s="2">
        <v>630</v>
      </c>
      <c r="Z772" s="2">
        <v>360</v>
      </c>
    </row>
    <row r="773" spans="1:31" x14ac:dyDescent="0.35">
      <c r="A773" s="2" t="str">
        <f xml:space="preserve"> _xll.EPMOlapMemberO("[LOCID].[].[Hamburg plant]","","Hamburg plant","","000")</f>
        <v>Hamburg plant</v>
      </c>
      <c r="B773" s="2" t="str">
        <f xml:space="preserve"> _xll.EPMOlapMemberO("[PRDID].[].[999-50654-0057]","","999-50654-0057","","000")</f>
        <v>999-50654-0057</v>
      </c>
      <c r="C773" s="2" t="str">
        <f xml:space="preserve"> _xll.EPMOlapMemberO("[BRAND].[].[ L&amp;M]",""," L&amp;M","","000")</f>
        <v xml:space="preserve"> L&amp;M</v>
      </c>
      <c r="D773" s="2" t="str">
        <f xml:space="preserve"> _xll.EPMOlapMemberO("[AM2MARKETDESCR].[].[CZECH REPUBLIC ESTIC]","","CZECH REPUBLIC ESTIC","","000")</f>
        <v>CZECH REPUBLIC ESTIC</v>
      </c>
      <c r="E773" s="2" t="str">
        <f xml:space="preserve"> _xll.EPMOlapMemberO("[AM2PARENTCUSTGROUP].[].[Mondelez]","","Mondelez","","000")</f>
        <v>Mondelez</v>
      </c>
      <c r="F773" s="2" t="str">
        <f xml:space="preserve"> _xll.EPMOlapMemberO("[KEY_FIGURES].[].[AM2ACTUALSHIPMENTS]","","Shipments","","000")</f>
        <v>Shipments</v>
      </c>
      <c r="T773" s="2">
        <v>630</v>
      </c>
      <c r="Y773" s="2">
        <v>360</v>
      </c>
    </row>
    <row r="774" spans="1:31" x14ac:dyDescent="0.35">
      <c r="A774" s="2" t="str">
        <f xml:space="preserve"> _xll.EPMOlapMemberO("[LOCID].[].[Hamburg plant]","","Hamburg plant","","000")</f>
        <v>Hamburg plant</v>
      </c>
      <c r="B774" s="2" t="str">
        <f xml:space="preserve"> _xll.EPMOlapMemberO("[PRDID].[].[999-50654-0059]","","999-50654-0059","","000")</f>
        <v>999-50654-0059</v>
      </c>
      <c r="C774" s="2" t="str">
        <f xml:space="preserve"> _xll.EPMOlapMemberO("[BRAND].[].[ L&amp;M]",""," L&amp;M","","000")</f>
        <v xml:space="preserve"> L&amp;M</v>
      </c>
      <c r="D774" s="2" t="str">
        <f xml:space="preserve"> _xll.EPMOlapMemberO("[AM2MARKETDESCR].[].[MONTENEGRO ]","","MONTENEGRO ","","000")</f>
        <v xml:space="preserve">MONTENEGRO </v>
      </c>
      <c r="E774" s="2" t="str">
        <f xml:space="preserve"> _xll.EPMOlapMemberO("[AM2PARENTCUSTGROUP].[].[Mondelez]","","Mondelez","","000")</f>
        <v>Mondelez</v>
      </c>
      <c r="F774" s="2" t="str">
        <f xml:space="preserve"> _xll.EPMOlapMemberO("[KEY_FIGURES].[].[AM2ORDERINTAKE]","","Sales Order","","000")</f>
        <v>Sales Order</v>
      </c>
      <c r="Y774" s="2">
        <v>468</v>
      </c>
      <c r="AE774" s="2">
        <v>144</v>
      </c>
    </row>
    <row r="775" spans="1:31" x14ac:dyDescent="0.35">
      <c r="A775" s="2" t="str">
        <f xml:space="preserve"> _xll.EPMOlapMemberO("[LOCID].[].[Hamburg plant]","","Hamburg plant","","000")</f>
        <v>Hamburg plant</v>
      </c>
      <c r="B775" s="2" t="str">
        <f xml:space="preserve"> _xll.EPMOlapMemberO("[PRDID].[].[999-50654-0059]","","999-50654-0059","","000")</f>
        <v>999-50654-0059</v>
      </c>
      <c r="C775" s="2" t="str">
        <f xml:space="preserve"> _xll.EPMOlapMemberO("[BRAND].[].[ L&amp;M]",""," L&amp;M","","000")</f>
        <v xml:space="preserve"> L&amp;M</v>
      </c>
      <c r="D775" s="2" t="str">
        <f xml:space="preserve"> _xll.EPMOlapMemberO("[AM2MARKETDESCR].[].[MONTENEGRO ]","","MONTENEGRO ","","000")</f>
        <v xml:space="preserve">MONTENEGRO </v>
      </c>
      <c r="E775" s="2" t="str">
        <f xml:space="preserve"> _xll.EPMOlapMemberO("[AM2PARENTCUSTGROUP].[].[Mondelez]","","Mondelez","","000")</f>
        <v>Mondelez</v>
      </c>
      <c r="F775" s="2" t="str">
        <f xml:space="preserve"> _xll.EPMOlapMemberO("[KEY_FIGURES].[].[AM2ACTUALSHIPMENTS]","","Shipments","","000")</f>
        <v>Shipments</v>
      </c>
      <c r="O775" s="2">
        <v>39.747948000000001</v>
      </c>
      <c r="P775" s="2">
        <v>35.901369000000003</v>
      </c>
      <c r="Q775" s="2">
        <v>39.747945999999999</v>
      </c>
      <c r="R775" s="2">
        <v>38.465752000000002</v>
      </c>
      <c r="S775" s="2">
        <v>39.747945000000001</v>
      </c>
      <c r="T775" s="2">
        <v>38.465755000000001</v>
      </c>
      <c r="U775" s="2">
        <v>39.747947000000003</v>
      </c>
      <c r="V775" s="2">
        <v>39.747948000000001</v>
      </c>
      <c r="W775" s="2">
        <v>38.465752000000002</v>
      </c>
      <c r="X775" s="2">
        <v>39.747943999999997</v>
      </c>
      <c r="Y775" s="2">
        <v>468</v>
      </c>
      <c r="AE775" s="2">
        <v>144</v>
      </c>
    </row>
    <row r="776" spans="1:31" x14ac:dyDescent="0.35">
      <c r="A776" s="2" t="str">
        <f xml:space="preserve"> _xll.EPMOlapMemberO("[LOCID].[].[Hamburg plant]","","Hamburg plant","","000")</f>
        <v>Hamburg plant</v>
      </c>
      <c r="B776" s="2" t="str">
        <f xml:space="preserve"> _xll.EPMOlapMemberO("[PRDID].[].[999-50654-0060]","","999-50654-0060","","000")</f>
        <v>999-50654-0060</v>
      </c>
      <c r="C776" s="2" t="str">
        <f xml:space="preserve"> _xll.EPMOlapMemberO("[BRAND].[].[ L&amp;M]",""," L&amp;M","","000")</f>
        <v xml:space="preserve"> L&amp;M</v>
      </c>
      <c r="D776" s="2" t="str">
        <f xml:space="preserve"> _xll.EPMOlapMemberO("[AM2MARKETDESCR].[].[MONTENEGRO ]","","MONTENEGRO ","","000")</f>
        <v xml:space="preserve">MONTENEGRO </v>
      </c>
      <c r="E776" s="2" t="str">
        <f xml:space="preserve"> _xll.EPMOlapMemberO("[AM2PARENTCUSTGROUP].[].[Mondelez]","","Mondelez","","000")</f>
        <v>Mondelez</v>
      </c>
      <c r="F776" s="2" t="str">
        <f xml:space="preserve"> _xll.EPMOlapMemberO("[KEY_FIGURES].[].[AM2ORDERINTAKE]","","Sales Order","","000")</f>
        <v>Sales Order</v>
      </c>
      <c r="Z776" s="2">
        <v>144</v>
      </c>
      <c r="AC776" s="2">
        <v>144</v>
      </c>
      <c r="AE776" s="2">
        <v>264</v>
      </c>
    </row>
    <row r="777" spans="1:31" x14ac:dyDescent="0.35">
      <c r="A777" s="2" t="str">
        <f xml:space="preserve"> _xll.EPMOlapMemberO("[LOCID].[].[Hamburg plant]","","Hamburg plant","","000")</f>
        <v>Hamburg plant</v>
      </c>
      <c r="B777" s="2" t="str">
        <f xml:space="preserve"> _xll.EPMOlapMemberO("[PRDID].[].[999-50654-0060]","","999-50654-0060","","000")</f>
        <v>999-50654-0060</v>
      </c>
      <c r="C777" s="2" t="str">
        <f xml:space="preserve"> _xll.EPMOlapMemberO("[BRAND].[].[ L&amp;M]",""," L&amp;M","","000")</f>
        <v xml:space="preserve"> L&amp;M</v>
      </c>
      <c r="D777" s="2" t="str">
        <f xml:space="preserve"> _xll.EPMOlapMemberO("[AM2MARKETDESCR].[].[MONTENEGRO ]","","MONTENEGRO ","","000")</f>
        <v xml:space="preserve">MONTENEGRO </v>
      </c>
      <c r="E777" s="2" t="str">
        <f xml:space="preserve"> _xll.EPMOlapMemberO("[AM2PARENTCUSTGROUP].[].[Mondelez]","","Mondelez","","000")</f>
        <v>Mondelez</v>
      </c>
      <c r="F777" s="2" t="str">
        <f xml:space="preserve"> _xll.EPMOlapMemberO("[KEY_FIGURES].[].[AM2ACTUALSHIPMENTS]","","Shipments","","000")</f>
        <v>Shipments</v>
      </c>
      <c r="O777" s="2">
        <v>12.230138999999999</v>
      </c>
      <c r="P777" s="2">
        <v>11.046576999999999</v>
      </c>
      <c r="Q777" s="2">
        <v>12.230138999999999</v>
      </c>
      <c r="R777" s="2">
        <v>11.835618</v>
      </c>
      <c r="S777" s="2">
        <v>12.230138</v>
      </c>
      <c r="T777" s="2">
        <v>11.835618</v>
      </c>
      <c r="U777" s="2">
        <v>12.230136999999999</v>
      </c>
      <c r="V777" s="2">
        <v>12.230138</v>
      </c>
      <c r="W777" s="2">
        <v>11.835614</v>
      </c>
      <c r="X777" s="2">
        <v>12.230135000000001</v>
      </c>
      <c r="Z777" s="2">
        <v>144</v>
      </c>
      <c r="AC777" s="2">
        <v>144</v>
      </c>
      <c r="AE777" s="2">
        <v>264</v>
      </c>
    </row>
    <row r="778" spans="1:31" x14ac:dyDescent="0.35">
      <c r="A778" s="2" t="str">
        <f xml:space="preserve"> _xll.EPMOlapMemberO("[LOCID].[].[Hamburg plant]","","Hamburg plant","","000")</f>
        <v>Hamburg plant</v>
      </c>
      <c r="B778" s="2" t="str">
        <f xml:space="preserve"> _xll.EPMOlapMemberO("[PRDID].[].[999-50654-0061]","","999-50654-0061","","000")</f>
        <v>999-50654-0061</v>
      </c>
      <c r="C778" s="2" t="str">
        <f xml:space="preserve"> _xll.EPMOlapMemberO("[BRAND].[].[ L&amp;M]",""," L&amp;M","","000")</f>
        <v xml:space="preserve"> L&amp;M</v>
      </c>
      <c r="D778" s="2" t="str">
        <f xml:space="preserve"> _xll.EPMOlapMemberO("[AM2MARKETDESCR].[].[GREEK CYPRUS ]","","GREEK CYPRUS ","","000")</f>
        <v xml:space="preserve">GREEK CYPRUS </v>
      </c>
      <c r="E778" s="2" t="str">
        <f xml:space="preserve"> _xll.EPMOlapMemberO("[AM2PARENTCUSTGROUP].[].[Mondelez]","","Mondelez","","000")</f>
        <v>Mondelez</v>
      </c>
      <c r="F778" s="2" t="str">
        <f xml:space="preserve"> _xll.EPMOlapMemberO("[KEY_FIGURES].[].[AM2ORDERINTAKE]","","Sales Order","","000")</f>
        <v>Sales Order</v>
      </c>
      <c r="X778" s="2">
        <v>144</v>
      </c>
      <c r="AA778" s="2">
        <v>144</v>
      </c>
    </row>
    <row r="779" spans="1:31" x14ac:dyDescent="0.35">
      <c r="A779" s="2" t="str">
        <f xml:space="preserve"> _xll.EPMOlapMemberO("[LOCID].[].[Hamburg plant]","","Hamburg plant","","000")</f>
        <v>Hamburg plant</v>
      </c>
      <c r="B779" s="2" t="str">
        <f xml:space="preserve"> _xll.EPMOlapMemberO("[PRDID].[].[999-50654-0061]","","999-50654-0061","","000")</f>
        <v>999-50654-0061</v>
      </c>
      <c r="C779" s="2" t="str">
        <f xml:space="preserve"> _xll.EPMOlapMemberO("[BRAND].[].[ L&amp;M]",""," L&amp;M","","000")</f>
        <v xml:space="preserve"> L&amp;M</v>
      </c>
      <c r="D779" s="2" t="str">
        <f xml:space="preserve"> _xll.EPMOlapMemberO("[AM2MARKETDESCR].[].[GREEK CYPRUS ]","","GREEK CYPRUS ","","000")</f>
        <v xml:space="preserve">GREEK CYPRUS </v>
      </c>
      <c r="E779" s="2" t="str">
        <f xml:space="preserve"> _xll.EPMOlapMemberO("[AM2PARENTCUSTGROUP].[].[Mondelez]","","Mondelez","","000")</f>
        <v>Mondelez</v>
      </c>
      <c r="F779" s="2" t="str">
        <f xml:space="preserve"> _xll.EPMOlapMemberO("[KEY_FIGURES].[].[AM2ACTUALSHIPMENTS]","","Shipments","","000")</f>
        <v>Shipments</v>
      </c>
      <c r="X779" s="2">
        <v>144</v>
      </c>
      <c r="AA779" s="2">
        <v>144</v>
      </c>
    </row>
    <row r="780" spans="1:31" x14ac:dyDescent="0.35">
      <c r="A780" s="2" t="str">
        <f xml:space="preserve"> _xll.EPMOlapMemberO("[LOCID].[].[Hamburg plant]","","Hamburg plant","","000")</f>
        <v>Hamburg plant</v>
      </c>
      <c r="B780" s="2" t="str">
        <f xml:space="preserve"> _xll.EPMOlapMemberO("[PRDID].[].[999-50654-0062]","","999-50654-0062","","000")</f>
        <v>999-50654-0062</v>
      </c>
      <c r="C780" s="2" t="str">
        <f xml:space="preserve"> _xll.EPMOlapMemberO("[BRAND].[].[ L&amp;M]",""," L&amp;M","","000")</f>
        <v xml:space="preserve"> L&amp;M</v>
      </c>
      <c r="D780" s="2" t="str">
        <f xml:space="preserve"> _xll.EPMOlapMemberO("[AM2MARKETDESCR].[].[GREEK CYPRUS ]","","GREEK CYPRUS ","","000")</f>
        <v xml:space="preserve">GREEK CYPRUS </v>
      </c>
      <c r="E780" s="2" t="str">
        <f xml:space="preserve"> _xll.EPMOlapMemberO("[AM2PARENTCUSTGROUP].[].[Mondelez]","","Mondelez","","000")</f>
        <v>Mondelez</v>
      </c>
      <c r="F780" s="2" t="str">
        <f xml:space="preserve"> _xll.EPMOlapMemberO("[KEY_FIGURES].[].[AM2ORDERINTAKE]","","Sales Order","","000")</f>
        <v>Sales Order</v>
      </c>
      <c r="X780" s="2">
        <v>168</v>
      </c>
    </row>
    <row r="781" spans="1:31" x14ac:dyDescent="0.35">
      <c r="A781" s="2" t="str">
        <f xml:space="preserve"> _xll.EPMOlapMemberO("[LOCID].[].[Hamburg plant]","","Hamburg plant","","000")</f>
        <v>Hamburg plant</v>
      </c>
      <c r="B781" s="2" t="str">
        <f xml:space="preserve"> _xll.EPMOlapMemberO("[PRDID].[].[999-50654-0062]","","999-50654-0062","","000")</f>
        <v>999-50654-0062</v>
      </c>
      <c r="C781" s="2" t="str">
        <f xml:space="preserve"> _xll.EPMOlapMemberO("[BRAND].[].[ L&amp;M]",""," L&amp;M","","000")</f>
        <v xml:space="preserve"> L&amp;M</v>
      </c>
      <c r="D781" s="2" t="str">
        <f xml:space="preserve"> _xll.EPMOlapMemberO("[AM2MARKETDESCR].[].[GREEK CYPRUS ]","","GREEK CYPRUS ","","000")</f>
        <v xml:space="preserve">GREEK CYPRUS </v>
      </c>
      <c r="E781" s="2" t="str">
        <f xml:space="preserve"> _xll.EPMOlapMemberO("[AM2PARENTCUSTGROUP].[].[Mondelez]","","Mondelez","","000")</f>
        <v>Mondelez</v>
      </c>
      <c r="F781" s="2" t="str">
        <f xml:space="preserve"> _xll.EPMOlapMemberO("[KEY_FIGURES].[].[AM2ACTUALSHIPMENTS]","","Shipments","","000")</f>
        <v>Shipments</v>
      </c>
      <c r="X781" s="2">
        <v>168</v>
      </c>
    </row>
    <row r="782" spans="1:31" x14ac:dyDescent="0.35">
      <c r="A782" s="2" t="str">
        <f xml:space="preserve"> _xll.EPMOlapMemberO("[LOCID].[].[Hamburg plant]","","Hamburg plant","","000")</f>
        <v>Hamburg plant</v>
      </c>
      <c r="B782" s="2" t="str">
        <f xml:space="preserve"> _xll.EPMOlapMemberO("[PRDID].[].[999-50654-0063]","","999-50654-0063","","000")</f>
        <v>999-50654-0063</v>
      </c>
      <c r="C782" s="2" t="str">
        <f xml:space="preserve"> _xll.EPMOlapMemberO("[BRAND].[].[ L&amp;M]",""," L&amp;M","","000")</f>
        <v xml:space="preserve"> L&amp;M</v>
      </c>
      <c r="D782" s="2" t="str">
        <f xml:space="preserve"> _xll.EPMOlapMemberO("[AM2MARKETDESCR].[].[ESTONIA ]","","ESTONIA ","","000")</f>
        <v xml:space="preserve">ESTONIA </v>
      </c>
      <c r="E782" s="2" t="str">
        <f xml:space="preserve"> _xll.EPMOlapMemberO("[AM2PARENTCUSTGROUP].[].[Mondelez]","","Mondelez","","000")</f>
        <v>Mondelez</v>
      </c>
      <c r="F782" s="2" t="str">
        <f xml:space="preserve"> _xll.EPMOlapMemberO("[KEY_FIGURES].[].[AM2ORDERINTAKE]","","Sales Order","","000")</f>
        <v>Sales Order</v>
      </c>
      <c r="X782" s="2">
        <v>157.5</v>
      </c>
      <c r="AE782" s="2">
        <v>45</v>
      </c>
    </row>
    <row r="783" spans="1:31" x14ac:dyDescent="0.35">
      <c r="A783" s="2" t="str">
        <f xml:space="preserve"> _xll.EPMOlapMemberO("[LOCID].[].[Hamburg plant]","","Hamburg plant","","000")</f>
        <v>Hamburg plant</v>
      </c>
      <c r="B783" s="2" t="str">
        <f xml:space="preserve"> _xll.EPMOlapMemberO("[PRDID].[].[999-50654-0063]","","999-50654-0063","","000")</f>
        <v>999-50654-0063</v>
      </c>
      <c r="C783" s="2" t="str">
        <f xml:space="preserve"> _xll.EPMOlapMemberO("[BRAND].[].[ L&amp;M]",""," L&amp;M","","000")</f>
        <v xml:space="preserve"> L&amp;M</v>
      </c>
      <c r="D783" s="2" t="str">
        <f xml:space="preserve"> _xll.EPMOlapMemberO("[AM2MARKETDESCR].[].[ESTONIA ]","","ESTONIA ","","000")</f>
        <v xml:space="preserve">ESTONIA </v>
      </c>
      <c r="E783" s="2" t="str">
        <f xml:space="preserve"> _xll.EPMOlapMemberO("[AM2PARENTCUSTGROUP].[].[Mondelez]","","Mondelez","","000")</f>
        <v>Mondelez</v>
      </c>
      <c r="F783" s="2" t="str">
        <f xml:space="preserve"> _xll.EPMOlapMemberO("[KEY_FIGURES].[].[AM2ACTUALSHIPMENTS]","","Shipments","","000")</f>
        <v>Shipments</v>
      </c>
      <c r="X783" s="2">
        <v>157.5</v>
      </c>
      <c r="AE783" s="2">
        <v>45</v>
      </c>
    </row>
    <row r="784" spans="1:31" x14ac:dyDescent="0.35">
      <c r="A784" s="2" t="str">
        <f xml:space="preserve"> _xll.EPMOlapMemberO("[LOCID].[].[Hamburg plant]","","Hamburg plant","","000")</f>
        <v>Hamburg plant</v>
      </c>
      <c r="B784" s="2" t="str">
        <f xml:space="preserve"> _xll.EPMOlapMemberO("[PRDID].[].[999-50654-0064]","","999-50654-0064","","000")</f>
        <v>999-50654-0064</v>
      </c>
      <c r="C784" s="2" t="str">
        <f xml:space="preserve"> _xll.EPMOlapMemberO("[BRAND].[].[ L&amp;M]",""," L&amp;M","","000")</f>
        <v xml:space="preserve"> L&amp;M</v>
      </c>
      <c r="D784" s="2" t="str">
        <f xml:space="preserve"> _xll.EPMOlapMemberO("[AM2MARKETDESCR].[].[SLOVAK REPUBLIC ]","","SLOVAK REPUBLIC ","","000")</f>
        <v xml:space="preserve">SLOVAK REPUBLIC </v>
      </c>
      <c r="E784" s="2" t="str">
        <f xml:space="preserve"> _xll.EPMOlapMemberO("[AM2PARENTCUSTGROUP].[].[Mondelez]","","Mondelez","","000")</f>
        <v>Mondelez</v>
      </c>
      <c r="F784" s="2" t="str">
        <f xml:space="preserve"> _xll.EPMOlapMemberO("[KEY_FIGURES].[].[AM2ORDERINTAKE]","","Sales Order","","000")</f>
        <v>Sales Order</v>
      </c>
      <c r="Z784" s="2">
        <v>1584</v>
      </c>
    </row>
    <row r="785" spans="1:46" x14ac:dyDescent="0.35">
      <c r="A785" s="2" t="str">
        <f xml:space="preserve"> _xll.EPMOlapMemberO("[LOCID].[].[Hamburg plant]","","Hamburg plant","","000")</f>
        <v>Hamburg plant</v>
      </c>
      <c r="B785" s="2" t="str">
        <f xml:space="preserve"> _xll.EPMOlapMemberO("[PRDID].[].[999-50654-0064]","","999-50654-0064","","000")</f>
        <v>999-50654-0064</v>
      </c>
      <c r="C785" s="2" t="str">
        <f xml:space="preserve"> _xll.EPMOlapMemberO("[BRAND].[].[ L&amp;M]",""," L&amp;M","","000")</f>
        <v xml:space="preserve"> L&amp;M</v>
      </c>
      <c r="D785" s="2" t="str">
        <f xml:space="preserve"> _xll.EPMOlapMemberO("[AM2MARKETDESCR].[].[SLOVAK REPUBLIC ]","","SLOVAK REPUBLIC ","","000")</f>
        <v xml:space="preserve">SLOVAK REPUBLIC </v>
      </c>
      <c r="E785" s="2" t="str">
        <f xml:space="preserve"> _xll.EPMOlapMemberO("[AM2PARENTCUSTGROUP].[].[Mondelez]","","Mondelez","","000")</f>
        <v>Mondelez</v>
      </c>
      <c r="F785" s="2" t="str">
        <f xml:space="preserve"> _xll.EPMOlapMemberO("[KEY_FIGURES].[].[AM2ACTUALSHIPMENTS]","","Shipments","","000")</f>
        <v>Shipments</v>
      </c>
      <c r="O785" s="2">
        <v>134.531508</v>
      </c>
      <c r="P785" s="2">
        <v>121.51232899999999</v>
      </c>
      <c r="Q785" s="2">
        <v>134.53150600000001</v>
      </c>
      <c r="R785" s="2">
        <v>130.19177999999999</v>
      </c>
      <c r="S785" s="2">
        <v>134.531507</v>
      </c>
      <c r="T785" s="2">
        <v>130.19177999999999</v>
      </c>
      <c r="U785" s="2">
        <v>134.531508</v>
      </c>
      <c r="V785" s="2">
        <v>134.53151</v>
      </c>
      <c r="W785" s="2">
        <v>130.19177999999999</v>
      </c>
      <c r="X785" s="2">
        <v>134.53150600000001</v>
      </c>
      <c r="Z785" s="2">
        <v>1584</v>
      </c>
    </row>
    <row r="786" spans="1:46" x14ac:dyDescent="0.35">
      <c r="A786" s="2" t="str">
        <f xml:space="preserve"> _xll.EPMOlapMemberO("[LOCID].[].[Hamburg plant]","","Hamburg plant","","000")</f>
        <v>Hamburg plant</v>
      </c>
      <c r="B786" s="2" t="str">
        <f xml:space="preserve"> _xll.EPMOlapMemberO("[PRDID].[].[999-50654-0065]","","999-50654-0065","","000")</f>
        <v>999-50654-0065</v>
      </c>
      <c r="C786" s="2" t="str">
        <f xml:space="preserve"> _xll.EPMOlapMemberO("[BRAND].[].[ L&amp;M]",""," L&amp;M","","000")</f>
        <v xml:space="preserve"> L&amp;M</v>
      </c>
      <c r="D786" s="2" t="str">
        <f xml:space="preserve"> _xll.EPMOlapMemberO("[AM2MARKETDESCR].[].[SLOVAK REPUBLIC ]","","SLOVAK REPUBLIC ","","000")</f>
        <v xml:space="preserve">SLOVAK REPUBLIC </v>
      </c>
      <c r="E786" s="2" t="str">
        <f xml:space="preserve"> _xll.EPMOlapMemberO("[AM2PARENTCUSTGROUP].[].[Mondelez]","","Mondelez","","000")</f>
        <v>Mondelez</v>
      </c>
      <c r="F786" s="2" t="str">
        <f xml:space="preserve"> _xll.EPMOlapMemberO("[KEY_FIGURES].[].[AM2ORDERINTAKE]","","Sales Order","","000")</f>
        <v>Sales Order</v>
      </c>
      <c r="Z786" s="2">
        <v>2592</v>
      </c>
    </row>
    <row r="787" spans="1:46" x14ac:dyDescent="0.35">
      <c r="A787" s="2" t="str">
        <f xml:space="preserve"> _xll.EPMOlapMemberO("[LOCID].[].[Hamburg plant]","","Hamburg plant","","000")</f>
        <v>Hamburg plant</v>
      </c>
      <c r="B787" s="2" t="str">
        <f xml:space="preserve"> _xll.EPMOlapMemberO("[PRDID].[].[999-50654-0065]","","999-50654-0065","","000")</f>
        <v>999-50654-0065</v>
      </c>
      <c r="C787" s="2" t="str">
        <f xml:space="preserve"> _xll.EPMOlapMemberO("[BRAND].[].[ L&amp;M]",""," L&amp;M","","000")</f>
        <v xml:space="preserve"> L&amp;M</v>
      </c>
      <c r="D787" s="2" t="str">
        <f xml:space="preserve"> _xll.EPMOlapMemberO("[AM2MARKETDESCR].[].[SLOVAK REPUBLIC ]","","SLOVAK REPUBLIC ","","000")</f>
        <v xml:space="preserve">SLOVAK REPUBLIC </v>
      </c>
      <c r="E787" s="2" t="str">
        <f xml:space="preserve"> _xll.EPMOlapMemberO("[AM2PARENTCUSTGROUP].[].[Mondelez]","","Mondelez","","000")</f>
        <v>Mondelez</v>
      </c>
      <c r="F787" s="2" t="str">
        <f xml:space="preserve"> _xll.EPMOlapMemberO("[KEY_FIGURES].[].[AM2ACTUALSHIPMENTS]","","Shipments","","000")</f>
        <v>Shipments</v>
      </c>
      <c r="O787" s="2">
        <v>183.45205799999999</v>
      </c>
      <c r="P787" s="2">
        <v>165.69863000000001</v>
      </c>
      <c r="Q787" s="2">
        <v>183.452055</v>
      </c>
      <c r="R787" s="2">
        <v>177.534245</v>
      </c>
      <c r="S787" s="2">
        <v>183.452055</v>
      </c>
      <c r="T787" s="2">
        <v>177.53424799999999</v>
      </c>
      <c r="U787" s="2">
        <v>183.452057</v>
      </c>
      <c r="V787" s="2">
        <v>183.452057</v>
      </c>
      <c r="W787" s="2">
        <v>177.534245</v>
      </c>
      <c r="X787" s="2">
        <v>183.452054</v>
      </c>
      <c r="Z787" s="2">
        <v>2160</v>
      </c>
      <c r="AB787" s="2">
        <v>432</v>
      </c>
    </row>
    <row r="788" spans="1:46" x14ac:dyDescent="0.35">
      <c r="A788" s="2" t="str">
        <f xml:space="preserve"> _xll.EPMOlapMemberO("[LOCID].[].[Hamburg plant]","","Hamburg plant","","000")</f>
        <v>Hamburg plant</v>
      </c>
      <c r="B788" s="2" t="str">
        <f xml:space="preserve"> _xll.EPMOlapMemberO("[PRDID].[].[999-50654-0066]","","999-50654-0066","","000")</f>
        <v>999-50654-0066</v>
      </c>
      <c r="C788" s="2" t="str">
        <f xml:space="preserve"> _xll.EPMOlapMemberO("[BRAND].[].[ L&amp;M]",""," L&amp;M","","000")</f>
        <v xml:space="preserve"> L&amp;M</v>
      </c>
      <c r="D788" s="2" t="str">
        <f xml:space="preserve"> _xll.EPMOlapMemberO("[AM2MARKETDESCR].[].[SLOVAK REPUBLIC ]","","SLOVAK REPUBLIC ","","000")</f>
        <v xml:space="preserve">SLOVAK REPUBLIC </v>
      </c>
      <c r="E788" s="2" t="str">
        <f xml:space="preserve"> _xll.EPMOlapMemberO("[AM2PARENTCUSTGROUP].[].[Mondelez]","","Mondelez","","000")</f>
        <v>Mondelez</v>
      </c>
      <c r="F788" s="2" t="str">
        <f xml:space="preserve"> _xll.EPMOlapMemberO("[KEY_FIGURES].[].[AM2ORDERINTAKE]","","Sales Order","","000")</f>
        <v>Sales Order</v>
      </c>
      <c r="W788" s="2">
        <v>720</v>
      </c>
    </row>
    <row r="789" spans="1:46" x14ac:dyDescent="0.35">
      <c r="A789" s="2" t="str">
        <f xml:space="preserve"> _xll.EPMOlapMemberO("[LOCID].[].[Hamburg plant]","","Hamburg plant","","000")</f>
        <v>Hamburg plant</v>
      </c>
      <c r="B789" s="2" t="str">
        <f xml:space="preserve"> _xll.EPMOlapMemberO("[PRDID].[].[999-50654-0066]","","999-50654-0066","","000")</f>
        <v>999-50654-0066</v>
      </c>
      <c r="C789" s="2" t="str">
        <f xml:space="preserve"> _xll.EPMOlapMemberO("[BRAND].[].[ L&amp;M]",""," L&amp;M","","000")</f>
        <v xml:space="preserve"> L&amp;M</v>
      </c>
      <c r="D789" s="2" t="str">
        <f xml:space="preserve"> _xll.EPMOlapMemberO("[AM2MARKETDESCR].[].[SLOVAK REPUBLIC ]","","SLOVAK REPUBLIC ","","000")</f>
        <v xml:space="preserve">SLOVAK REPUBLIC </v>
      </c>
      <c r="E789" s="2" t="str">
        <f xml:space="preserve"> _xll.EPMOlapMemberO("[AM2PARENTCUSTGROUP].[].[Mondelez]","","Mondelez","","000")</f>
        <v>Mondelez</v>
      </c>
      <c r="F789" s="2" t="str">
        <f xml:space="preserve"> _xll.EPMOlapMemberO("[KEY_FIGURES].[].[AM2ACTUALSHIPMENTS]","","Shipments","","000")</f>
        <v>Shipments</v>
      </c>
      <c r="W789" s="2">
        <v>720</v>
      </c>
    </row>
    <row r="790" spans="1:46" x14ac:dyDescent="0.35">
      <c r="A790" s="2" t="str">
        <f xml:space="preserve"> _xll.EPMOlapMemberO("[LOCID].[].[Hamburg plant]","","Hamburg plant","","000")</f>
        <v>Hamburg plant</v>
      </c>
      <c r="B790" s="2" t="str">
        <f xml:space="preserve"> _xll.EPMOlapMemberO("[PRDID].[].[999-50654-0067]","","999-50654-0067","","000")</f>
        <v>999-50654-0067</v>
      </c>
      <c r="C790" s="2" t="str">
        <f xml:space="preserve"> _xll.EPMOlapMemberO("[BRAND].[].[ L&amp;M]",""," L&amp;M","","000")</f>
        <v xml:space="preserve"> L&amp;M</v>
      </c>
      <c r="D790" s="2" t="str">
        <f xml:space="preserve"> _xll.EPMOlapMemberO("[AM2MARKETDESCR].[].[SLOVAK REPUBLIC ]","","SLOVAK REPUBLIC ","","000")</f>
        <v xml:space="preserve">SLOVAK REPUBLIC </v>
      </c>
      <c r="E790" s="2" t="str">
        <f xml:space="preserve"> _xll.EPMOlapMemberO("[AM2PARENTCUSTGROUP].[].[Mondelez]","","Mondelez","","000")</f>
        <v>Mondelez</v>
      </c>
      <c r="F790" s="2" t="str">
        <f xml:space="preserve"> _xll.EPMOlapMemberO("[KEY_FIGURES].[].[AM2ORDERINTAKE]","","Sales Order","","000")</f>
        <v>Sales Order</v>
      </c>
      <c r="AA790" s="2">
        <v>1152</v>
      </c>
    </row>
    <row r="791" spans="1:46" x14ac:dyDescent="0.35">
      <c r="A791" s="2" t="str">
        <f xml:space="preserve"> _xll.EPMOlapMemberO("[LOCID].[].[Hamburg plant]","","Hamburg plant","","000")</f>
        <v>Hamburg plant</v>
      </c>
      <c r="B791" s="2" t="str">
        <f xml:space="preserve"> _xll.EPMOlapMemberO("[PRDID].[].[999-50654-0067]","","999-50654-0067","","000")</f>
        <v>999-50654-0067</v>
      </c>
      <c r="C791" s="2" t="str">
        <f xml:space="preserve"> _xll.EPMOlapMemberO("[BRAND].[].[ L&amp;M]",""," L&amp;M","","000")</f>
        <v xml:space="preserve"> L&amp;M</v>
      </c>
      <c r="D791" s="2" t="str">
        <f xml:space="preserve"> _xll.EPMOlapMemberO("[AM2MARKETDESCR].[].[SLOVAK REPUBLIC ]","","SLOVAK REPUBLIC ","","000")</f>
        <v xml:space="preserve">SLOVAK REPUBLIC </v>
      </c>
      <c r="E791" s="2" t="str">
        <f xml:space="preserve"> _xll.EPMOlapMemberO("[AM2PARENTCUSTGROUP].[].[Mondelez]","","Mondelez","","000")</f>
        <v>Mondelez</v>
      </c>
      <c r="F791" s="2" t="str">
        <f xml:space="preserve"> _xll.EPMOlapMemberO("[KEY_FIGURES].[].[AM2ACTUALSHIPMENTS]","","Shipments","","000")</f>
        <v>Shipments</v>
      </c>
      <c r="AA791" s="2">
        <v>1152</v>
      </c>
    </row>
    <row r="792" spans="1:46" x14ac:dyDescent="0.35">
      <c r="A792" s="2" t="str">
        <f xml:space="preserve"> _xll.EPMOlapMemberO("[LOCID].[].[Hamburg plant]","","Hamburg plant","","000")</f>
        <v>Hamburg plant</v>
      </c>
      <c r="B792" s="2" t="str">
        <f xml:space="preserve"> _xll.EPMOlapMemberO("[PRDID].[].[999-50654-0068]","","999-50654-0068","","000")</f>
        <v>999-50654-0068</v>
      </c>
      <c r="C792" s="2" t="str">
        <f xml:space="preserve"> _xll.EPMOlapMemberO("[BRAND].[].[ L&amp;M]",""," L&amp;M","","000")</f>
        <v xml:space="preserve"> L&amp;M</v>
      </c>
      <c r="D792" s="2" t="str">
        <f xml:space="preserve"> _xll.EPMOlapMemberO("[AM2MARKETDESCR].[].[CZECH REPUBLIC ESTIC]","","CZECH REPUBLIC ESTIC","","000")</f>
        <v>CZECH REPUBLIC ESTIC</v>
      </c>
      <c r="E792" s="2" t="str">
        <f xml:space="preserve"> _xll.EPMOlapMemberO("[AM2PARENTCUSTGROUP].[].[Mondelez]","","Mondelez","","000")</f>
        <v>Mondelez</v>
      </c>
      <c r="F792" s="2" t="str">
        <f xml:space="preserve"> _xll.EPMOlapMemberO("[KEY_FIGURES].[].[AM2ORDERINTAKE]","","Sales Order","","000")</f>
        <v>Sales Order</v>
      </c>
      <c r="Z792" s="2">
        <v>472.5</v>
      </c>
      <c r="AC792" s="2">
        <v>405</v>
      </c>
    </row>
    <row r="793" spans="1:46" x14ac:dyDescent="0.35">
      <c r="A793" s="2" t="str">
        <f xml:space="preserve"> _xll.EPMOlapMemberO("[LOCID].[].[Hamburg plant]","","Hamburg plant","","000")</f>
        <v>Hamburg plant</v>
      </c>
      <c r="B793" s="2" t="str">
        <f xml:space="preserve"> _xll.EPMOlapMemberO("[PRDID].[].[999-50654-0068]","","999-50654-0068","","000")</f>
        <v>999-50654-0068</v>
      </c>
      <c r="C793" s="2" t="str">
        <f xml:space="preserve"> _xll.EPMOlapMemberO("[BRAND].[].[ L&amp;M]",""," L&amp;M","","000")</f>
        <v xml:space="preserve"> L&amp;M</v>
      </c>
      <c r="D793" s="2" t="str">
        <f xml:space="preserve"> _xll.EPMOlapMemberO("[AM2MARKETDESCR].[].[CZECH REPUBLIC ESTIC]","","CZECH REPUBLIC ESTIC","","000")</f>
        <v>CZECH REPUBLIC ESTIC</v>
      </c>
      <c r="E793" s="2" t="str">
        <f xml:space="preserve"> _xll.EPMOlapMemberO("[AM2PARENTCUSTGROUP].[].[Mondelez]","","Mondelez","","000")</f>
        <v>Mondelez</v>
      </c>
      <c r="F793" s="2" t="str">
        <f xml:space="preserve"> _xll.EPMOlapMemberO("[KEY_FIGURES].[].[AM2ACTUALSHIPMENTS]","","Shipments","","000")</f>
        <v>Shipments</v>
      </c>
      <c r="O793" s="2">
        <v>13.376713000000001</v>
      </c>
      <c r="P793" s="2">
        <v>12.082193</v>
      </c>
      <c r="Q793" s="2">
        <v>13.376714</v>
      </c>
      <c r="R793" s="2">
        <v>12.945207</v>
      </c>
      <c r="S793" s="2">
        <v>13.376713000000001</v>
      </c>
      <c r="T793" s="2">
        <v>12.945207</v>
      </c>
      <c r="U793" s="2">
        <v>13.376713000000001</v>
      </c>
      <c r="V793" s="2">
        <v>13.376713000000001</v>
      </c>
      <c r="W793" s="2">
        <v>12.945205</v>
      </c>
      <c r="X793" s="2">
        <v>13.376711</v>
      </c>
      <c r="Z793" s="2">
        <v>157.5</v>
      </c>
      <c r="AA793" s="2">
        <v>292.5</v>
      </c>
      <c r="AC793" s="2">
        <v>405</v>
      </c>
    </row>
    <row r="794" spans="1:46" x14ac:dyDescent="0.35">
      <c r="A794" s="2" t="str">
        <f xml:space="preserve"> _xll.EPMOlapMemberO("[LOCID].[].[Hamburg plant]","","Hamburg plant","","000")</f>
        <v>Hamburg plant</v>
      </c>
      <c r="B794" s="2" t="str">
        <f xml:space="preserve"> _xll.EPMOlapMemberO("[PRDID].[].[999-50654-0069]","","999-50654-0069","","000")</f>
        <v>999-50654-0069</v>
      </c>
      <c r="C794" s="2" t="str">
        <f xml:space="preserve"> _xll.EPMOlapMemberO("[BRAND].[].[ L&amp;M]",""," L&amp;M","","000")</f>
        <v xml:space="preserve"> L&amp;M</v>
      </c>
      <c r="D794" s="2" t="str">
        <f xml:space="preserve"> _xll.EPMOlapMemberO("[AM2MARKETDESCR].[].[CZECH REPUBLIC ESTIC]","","CZECH REPUBLIC ESTIC","","000")</f>
        <v>CZECH REPUBLIC ESTIC</v>
      </c>
      <c r="E794" s="2" t="str">
        <f xml:space="preserve"> _xll.EPMOlapMemberO("[AM2PARENTCUSTGROUP].[].[Mondelez]","","Mondelez","","000")</f>
        <v>Mondelez</v>
      </c>
      <c r="F794" s="2" t="str">
        <f xml:space="preserve"> _xll.EPMOlapMemberO("[KEY_FIGURES].[].[AM2ORDERINTAKE]","","Sales Order","","000")</f>
        <v>Sales Order</v>
      </c>
      <c r="Z794" s="2">
        <v>630</v>
      </c>
      <c r="AC794" s="2">
        <v>708.75</v>
      </c>
    </row>
    <row r="795" spans="1:46" x14ac:dyDescent="0.35">
      <c r="A795" s="2" t="str">
        <f xml:space="preserve"> _xll.EPMOlapMemberO("[LOCID].[].[Hamburg plant]","","Hamburg plant","","000")</f>
        <v>Hamburg plant</v>
      </c>
      <c r="B795" s="2" t="str">
        <f xml:space="preserve"> _xll.EPMOlapMemberO("[PRDID].[].[999-50654-0069]","","999-50654-0069","","000")</f>
        <v>999-50654-0069</v>
      </c>
      <c r="C795" s="2" t="str">
        <f xml:space="preserve"> _xll.EPMOlapMemberO("[BRAND].[].[ L&amp;M]",""," L&amp;M","","000")</f>
        <v xml:space="preserve"> L&amp;M</v>
      </c>
      <c r="D795" s="2" t="str">
        <f xml:space="preserve"> _xll.EPMOlapMemberO("[AM2MARKETDESCR].[].[CZECH REPUBLIC ESTIC]","","CZECH REPUBLIC ESTIC","","000")</f>
        <v>CZECH REPUBLIC ESTIC</v>
      </c>
      <c r="E795" s="2" t="str">
        <f xml:space="preserve"> _xll.EPMOlapMemberO("[AM2PARENTCUSTGROUP].[].[Mondelez]","","Mondelez","","000")</f>
        <v>Mondelez</v>
      </c>
      <c r="F795" s="2" t="str">
        <f xml:space="preserve"> _xll.EPMOlapMemberO("[KEY_FIGURES].[].[AM2ACTUALSHIPMENTS]","","Shipments","","000")</f>
        <v>Shipments</v>
      </c>
      <c r="O795" s="2">
        <v>26.753426000000001</v>
      </c>
      <c r="P795" s="2">
        <v>24.164384999999999</v>
      </c>
      <c r="Q795" s="2">
        <v>26.753426000000001</v>
      </c>
      <c r="R795" s="2">
        <v>25.890412999999999</v>
      </c>
      <c r="S795" s="2">
        <v>26.753426000000001</v>
      </c>
      <c r="T795" s="2">
        <v>25.890412000000001</v>
      </c>
      <c r="U795" s="2">
        <v>26.753426000000001</v>
      </c>
      <c r="V795" s="2">
        <v>26.753426000000001</v>
      </c>
      <c r="W795" s="2">
        <v>25.890408999999998</v>
      </c>
      <c r="X795" s="2">
        <v>26.753422</v>
      </c>
      <c r="Z795" s="2">
        <v>315</v>
      </c>
      <c r="AA795" s="2">
        <v>315</v>
      </c>
      <c r="AC795" s="2">
        <v>708.75</v>
      </c>
    </row>
    <row r="796" spans="1:46" x14ac:dyDescent="0.35">
      <c r="A796" s="2" t="str">
        <f xml:space="preserve"> _xll.EPMOlapMemberO("[LOCID].[].[Hamburg plant]","","Hamburg plant","","000")</f>
        <v>Hamburg plant</v>
      </c>
      <c r="B796" s="2" t="str">
        <f xml:space="preserve"> _xll.EPMOlapMemberO("[PRDID].[].[999-50654-0070]","","999-50654-0070","","000")</f>
        <v>999-50654-0070</v>
      </c>
      <c r="C796" s="2" t="str">
        <f xml:space="preserve"> _xll.EPMOlapMemberO("[BRAND].[].[ L&amp;M]",""," L&amp;M","","000")</f>
        <v xml:space="preserve"> L&amp;M</v>
      </c>
      <c r="D796" s="2" t="str">
        <f xml:space="preserve"> _xll.EPMOlapMemberO("[AM2MARKETDESCR].[].[SERBIA ]","","SERBIA ","","000")</f>
        <v xml:space="preserve">SERBIA </v>
      </c>
      <c r="E796" s="2" t="str">
        <f xml:space="preserve"> _xll.EPMOlapMemberO("[AM2PARENTCUSTGROUP].[].[__NULL]","","(None)","","000")</f>
        <v>(None)</v>
      </c>
      <c r="F796" s="2" t="str">
        <f xml:space="preserve"> _xll.EPMOlapMemberO("[KEY_FIGURES].[].[CONFIRMEDPRODUCTION]","","Production Order","","000")</f>
        <v>Production Order</v>
      </c>
      <c r="AT796" s="2">
        <v>1440</v>
      </c>
    </row>
    <row r="797" spans="1:46" x14ac:dyDescent="0.35">
      <c r="A797" s="2" t="str">
        <f xml:space="preserve"> _xll.EPMOlapMemberO("[LOCID].[].[Hamburg plant]","","Hamburg plant","","000")</f>
        <v>Hamburg plant</v>
      </c>
      <c r="B797" s="2" t="str">
        <f xml:space="preserve"> _xll.EPMOlapMemberO("[PRDID].[].[999-50654-0070]","","999-50654-0070","","000")</f>
        <v>999-50654-0070</v>
      </c>
      <c r="C797" s="2" t="str">
        <f xml:space="preserve"> _xll.EPMOlapMemberO("[BRAND].[].[ L&amp;M]",""," L&amp;M","","000")</f>
        <v xml:space="preserve"> L&amp;M</v>
      </c>
      <c r="D797" s="2" t="str">
        <f xml:space="preserve"> _xll.EPMOlapMemberO("[AM2MARKETDESCR].[].[SERBIA ]","","SERBIA ","","000")</f>
        <v xml:space="preserve">SERBIA </v>
      </c>
      <c r="E797" s="2" t="str">
        <f xml:space="preserve"> _xll.EPMOlapMemberO("[AM2PARENTCUSTGROUP].[].[Mondelez]","","Mondelez","","000")</f>
        <v>Mondelez</v>
      </c>
      <c r="F797" s="2" t="str">
        <f xml:space="preserve"> _xll.EPMOlapMemberO("[KEY_FIGURES].[].[AM2ORDERINTAKE]","","Sales Order","","000")</f>
        <v>Sales Order</v>
      </c>
      <c r="X797" s="2">
        <v>864</v>
      </c>
      <c r="AA797" s="2">
        <v>1008</v>
      </c>
      <c r="AC797" s="2">
        <v>1296</v>
      </c>
      <c r="AF797" s="2">
        <v>432</v>
      </c>
      <c r="AK797" s="2">
        <v>720</v>
      </c>
      <c r="AM797" s="2">
        <v>1584</v>
      </c>
    </row>
    <row r="798" spans="1:46" x14ac:dyDescent="0.35">
      <c r="A798" s="2" t="str">
        <f xml:space="preserve"> _xll.EPMOlapMemberO("[LOCID].[].[Hamburg plant]","","Hamburg plant","","000")</f>
        <v>Hamburg plant</v>
      </c>
      <c r="B798" s="2" t="str">
        <f xml:space="preserve"> _xll.EPMOlapMemberO("[PRDID].[].[999-50654-0070]","","999-50654-0070","","000")</f>
        <v>999-50654-0070</v>
      </c>
      <c r="C798" s="2" t="str">
        <f xml:space="preserve"> _xll.EPMOlapMemberO("[BRAND].[].[ L&amp;M]",""," L&amp;M","","000")</f>
        <v xml:space="preserve"> L&amp;M</v>
      </c>
      <c r="D798" s="2" t="str">
        <f xml:space="preserve"> _xll.EPMOlapMemberO("[AM2MARKETDESCR].[].[SERBIA ]","","SERBIA ","","000")</f>
        <v xml:space="preserve">SERBIA </v>
      </c>
      <c r="E798" s="2" t="str">
        <f xml:space="preserve"> _xll.EPMOlapMemberO("[AM2PARENTCUSTGROUP].[].[Mondelez]","","Mondelez","","000")</f>
        <v>Mondelez</v>
      </c>
      <c r="F798" s="2" t="str">
        <f xml:space="preserve"> _xll.EPMOlapMemberO("[KEY_FIGURES].[].[AM2ACTUALSHIPMENTS]","","Shipments","","000")</f>
        <v>Shipments</v>
      </c>
      <c r="X798" s="2">
        <v>864</v>
      </c>
      <c r="AA798" s="2">
        <v>1008</v>
      </c>
      <c r="AE798" s="2">
        <v>1296</v>
      </c>
      <c r="AF798" s="2">
        <v>432</v>
      </c>
      <c r="AK798" s="2">
        <v>720</v>
      </c>
      <c r="AM798" s="2">
        <v>1584</v>
      </c>
    </row>
    <row r="799" spans="1:46" x14ac:dyDescent="0.35">
      <c r="A799" s="2" t="str">
        <f xml:space="preserve"> _xll.EPMOlapMemberO("[LOCID].[].[Hamburg plant]","","Hamburg plant","","000")</f>
        <v>Hamburg plant</v>
      </c>
      <c r="B799" s="2" t="str">
        <f xml:space="preserve"> _xll.EPMOlapMemberO("[PRDID].[].[999-50654-0071]","","999-50654-0071","","000")</f>
        <v>999-50654-0071</v>
      </c>
      <c r="C799" s="2" t="str">
        <f xml:space="preserve"> _xll.EPMOlapMemberO("[BRAND].[].[ L&amp;M]",""," L&amp;M","","000")</f>
        <v xml:space="preserve"> L&amp;M</v>
      </c>
      <c r="D799" s="2" t="str">
        <f xml:space="preserve"> _xll.EPMOlapMemberO("[AM2MARKETDESCR].[].[SERBIA ]","","SERBIA ","","000")</f>
        <v xml:space="preserve">SERBIA </v>
      </c>
      <c r="E799" s="2" t="str">
        <f xml:space="preserve"> _xll.EPMOlapMemberO("[AM2PARENTCUSTGROUP].[].[Mondelez]","","Mondelez","","000")</f>
        <v>Mondelez</v>
      </c>
      <c r="F799" s="2" t="str">
        <f xml:space="preserve"> _xll.EPMOlapMemberO("[KEY_FIGURES].[].[AM2ORDERINTAKE]","","Sales Order","","000")</f>
        <v>Sales Order</v>
      </c>
      <c r="Y799" s="2">
        <v>576</v>
      </c>
      <c r="AC799" s="2">
        <v>576</v>
      </c>
      <c r="AF799" s="2">
        <v>432</v>
      </c>
      <c r="AJ799" s="2">
        <v>432</v>
      </c>
      <c r="AO799" s="2">
        <v>684</v>
      </c>
    </row>
    <row r="800" spans="1:46" x14ac:dyDescent="0.35">
      <c r="A800" s="2" t="str">
        <f xml:space="preserve"> _xll.EPMOlapMemberO("[LOCID].[].[Hamburg plant]","","Hamburg plant","","000")</f>
        <v>Hamburg plant</v>
      </c>
      <c r="B800" s="2" t="str">
        <f xml:space="preserve"> _xll.EPMOlapMemberO("[PRDID].[].[999-50654-0071]","","999-50654-0071","","000")</f>
        <v>999-50654-0071</v>
      </c>
      <c r="C800" s="2" t="str">
        <f xml:space="preserve"> _xll.EPMOlapMemberO("[BRAND].[].[ L&amp;M]",""," L&amp;M","","000")</f>
        <v xml:space="preserve"> L&amp;M</v>
      </c>
      <c r="D800" s="2" t="str">
        <f xml:space="preserve"> _xll.EPMOlapMemberO("[AM2MARKETDESCR].[].[SERBIA ]","","SERBIA ","","000")</f>
        <v xml:space="preserve">SERBIA </v>
      </c>
      <c r="E800" s="2" t="str">
        <f xml:space="preserve"> _xll.EPMOlapMemberO("[AM2PARENTCUSTGROUP].[].[Mondelez]","","Mondelez","","000")</f>
        <v>Mondelez</v>
      </c>
      <c r="F800" s="2" t="str">
        <f xml:space="preserve"> _xll.EPMOlapMemberO("[KEY_FIGURES].[].[AM2ACTUALSHIPMENTS]","","Shipments","","000")</f>
        <v>Shipments</v>
      </c>
      <c r="O800" s="2">
        <v>48.920549999999999</v>
      </c>
      <c r="P800" s="2">
        <v>44.186301999999998</v>
      </c>
      <c r="Q800" s="2">
        <v>48.920547999999997</v>
      </c>
      <c r="R800" s="2">
        <v>47.342464999999997</v>
      </c>
      <c r="S800" s="2">
        <v>48.920549000000001</v>
      </c>
      <c r="T800" s="2">
        <v>47.342464999999997</v>
      </c>
      <c r="U800" s="2">
        <v>48.920549999999999</v>
      </c>
      <c r="V800" s="2">
        <v>48.920549999999999</v>
      </c>
      <c r="W800" s="2">
        <v>47.342463000000002</v>
      </c>
      <c r="X800" s="2">
        <v>48.920547999999997</v>
      </c>
      <c r="Y800" s="2">
        <v>576</v>
      </c>
      <c r="AC800" s="2">
        <v>576</v>
      </c>
      <c r="AE800" s="2">
        <v>432</v>
      </c>
      <c r="AJ800" s="2">
        <v>432</v>
      </c>
      <c r="AO800" s="2">
        <v>684</v>
      </c>
    </row>
    <row r="801" spans="1:38" x14ac:dyDescent="0.35">
      <c r="A801" s="2" t="str">
        <f xml:space="preserve"> _xll.EPMOlapMemberO("[LOCID].[].[Hamburg plant]","","Hamburg plant","","000")</f>
        <v>Hamburg plant</v>
      </c>
      <c r="B801" s="2" t="str">
        <f xml:space="preserve"> _xll.EPMOlapMemberO("[PRDID].[].[999-50654-0072]","","999-50654-0072","","000")</f>
        <v>999-50654-0072</v>
      </c>
      <c r="C801" s="2" t="str">
        <f xml:space="preserve"> _xll.EPMOlapMemberO("[BRAND].[].[ L&amp;M]",""," L&amp;M","","000")</f>
        <v xml:space="preserve"> L&amp;M</v>
      </c>
      <c r="D801" s="2" t="str">
        <f xml:space="preserve"> _xll.EPMOlapMemberO("[AM2MARKETDESCR].[].[SLOVAK REPUBLIC ]","","SLOVAK REPUBLIC ","","000")</f>
        <v xml:space="preserve">SLOVAK REPUBLIC </v>
      </c>
      <c r="E801" s="2" t="str">
        <f xml:space="preserve"> _xll.EPMOlapMemberO("[AM2PARENTCUSTGROUP].[].[Mondelez]","","Mondelez","","000")</f>
        <v>Mondelez</v>
      </c>
      <c r="F801" s="2" t="str">
        <f xml:space="preserve"> _xll.EPMOlapMemberO("[KEY_FIGURES].[].[AM2ORDERINTAKE]","","Sales Order","","000")</f>
        <v>Sales Order</v>
      </c>
      <c r="Z801" s="2">
        <v>2110.5</v>
      </c>
      <c r="AC801" s="2">
        <v>720</v>
      </c>
      <c r="AD801" s="2">
        <v>56.25</v>
      </c>
      <c r="AF801" s="2">
        <v>720</v>
      </c>
      <c r="AG801" s="2">
        <v>216</v>
      </c>
      <c r="AH801" s="2">
        <v>804</v>
      </c>
    </row>
    <row r="802" spans="1:38" x14ac:dyDescent="0.35">
      <c r="A802" s="2" t="str">
        <f xml:space="preserve"> _xll.EPMOlapMemberO("[LOCID].[].[Hamburg plant]","","Hamburg plant","","000")</f>
        <v>Hamburg plant</v>
      </c>
      <c r="B802" s="2" t="str">
        <f xml:space="preserve"> _xll.EPMOlapMemberO("[PRDID].[].[999-50654-0072]","","999-50654-0072","","000")</f>
        <v>999-50654-0072</v>
      </c>
      <c r="C802" s="2" t="str">
        <f xml:space="preserve"> _xll.EPMOlapMemberO("[BRAND].[].[ L&amp;M]",""," L&amp;M","","000")</f>
        <v xml:space="preserve"> L&amp;M</v>
      </c>
      <c r="D802" s="2" t="str">
        <f xml:space="preserve"> _xll.EPMOlapMemberO("[AM2MARKETDESCR].[].[SLOVAK REPUBLIC ]","","SLOVAK REPUBLIC ","","000")</f>
        <v xml:space="preserve">SLOVAK REPUBLIC </v>
      </c>
      <c r="E802" s="2" t="str">
        <f xml:space="preserve"> _xll.EPMOlapMemberO("[AM2PARENTCUSTGROUP].[].[Mondelez]","","Mondelez","","000")</f>
        <v>Mondelez</v>
      </c>
      <c r="F802" s="2" t="str">
        <f xml:space="preserve"> _xll.EPMOlapMemberO("[KEY_FIGURES].[].[AM2ACTUALSHIPMENTS]","","Shipments","","000")</f>
        <v>Shipments</v>
      </c>
      <c r="O802" s="2">
        <v>179.24794800000001</v>
      </c>
      <c r="P802" s="2">
        <v>161.90137300000001</v>
      </c>
      <c r="Q802" s="2">
        <v>179.24794900000001</v>
      </c>
      <c r="R802" s="2">
        <v>173.465757</v>
      </c>
      <c r="S802" s="2">
        <v>179.24794499999999</v>
      </c>
      <c r="T802" s="2">
        <v>173.465757</v>
      </c>
      <c r="U802" s="2">
        <v>179.24794800000001</v>
      </c>
      <c r="V802" s="2">
        <v>179.24794800000001</v>
      </c>
      <c r="W802" s="2">
        <v>173.46574899999999</v>
      </c>
      <c r="X802" s="2">
        <v>179.24794</v>
      </c>
      <c r="Z802" s="2">
        <v>2110.5</v>
      </c>
      <c r="AC802" s="2">
        <v>720</v>
      </c>
      <c r="AD802" s="2">
        <v>56.25</v>
      </c>
      <c r="AF802" s="2">
        <v>720</v>
      </c>
      <c r="AG802" s="2">
        <v>216</v>
      </c>
      <c r="AH802" s="2">
        <v>804</v>
      </c>
    </row>
    <row r="803" spans="1:38" x14ac:dyDescent="0.35">
      <c r="A803" s="2" t="str">
        <f xml:space="preserve"> _xll.EPMOlapMemberO("[LOCID].[].[Hamburg plant]","","Hamburg plant","","000")</f>
        <v>Hamburg plant</v>
      </c>
      <c r="B803" s="2" t="str">
        <f xml:space="preserve"> _xll.EPMOlapMemberO("[PRDID].[].[999-50654-0073]","","999-50654-0073","","000")</f>
        <v>999-50654-0073</v>
      </c>
      <c r="C803" s="2" t="str">
        <f xml:space="preserve"> _xll.EPMOlapMemberO("[BRAND].[].[ L&amp;M]",""," L&amp;M","","000")</f>
        <v xml:space="preserve"> L&amp;M</v>
      </c>
      <c r="D803" s="2" t="str">
        <f xml:space="preserve"> _xll.EPMOlapMemberO("[AM2MARKETDESCR].[].[SLOVAK REPUBLIC ]","","SLOVAK REPUBLIC ","","000")</f>
        <v xml:space="preserve">SLOVAK REPUBLIC </v>
      </c>
      <c r="E803" s="2" t="str">
        <f xml:space="preserve"> _xll.EPMOlapMemberO("[AM2PARENTCUSTGROUP].[].[Mondelez]","","Mondelez","","000")</f>
        <v>Mondelez</v>
      </c>
      <c r="F803" s="2" t="str">
        <f xml:space="preserve"> _xll.EPMOlapMemberO("[KEY_FIGURES].[].[AM2ORDERINTAKE]","","Sales Order","","000")</f>
        <v>Sales Order</v>
      </c>
      <c r="Z803" s="2">
        <v>1531.5</v>
      </c>
      <c r="AE803" s="2">
        <v>101.25</v>
      </c>
      <c r="AF803" s="2">
        <v>576</v>
      </c>
      <c r="AG803" s="2">
        <v>288</v>
      </c>
      <c r="AH803" s="2">
        <v>600</v>
      </c>
    </row>
    <row r="804" spans="1:38" x14ac:dyDescent="0.35">
      <c r="A804" s="2" t="str">
        <f xml:space="preserve"> _xll.EPMOlapMemberO("[LOCID].[].[Hamburg plant]","","Hamburg plant","","000")</f>
        <v>Hamburg plant</v>
      </c>
      <c r="B804" s="2" t="str">
        <f xml:space="preserve"> _xll.EPMOlapMemberO("[PRDID].[].[999-50654-0073]","","999-50654-0073","","000")</f>
        <v>999-50654-0073</v>
      </c>
      <c r="C804" s="2" t="str">
        <f xml:space="preserve"> _xll.EPMOlapMemberO("[BRAND].[].[ L&amp;M]",""," L&amp;M","","000")</f>
        <v xml:space="preserve"> L&amp;M</v>
      </c>
      <c r="D804" s="2" t="str">
        <f xml:space="preserve"> _xll.EPMOlapMemberO("[AM2MARKETDESCR].[].[SLOVAK REPUBLIC ]","","SLOVAK REPUBLIC ","","000")</f>
        <v xml:space="preserve">SLOVAK REPUBLIC </v>
      </c>
      <c r="E804" s="2" t="str">
        <f xml:space="preserve"> _xll.EPMOlapMemberO("[AM2PARENTCUSTGROUP].[].[Mondelez]","","Mondelez","","000")</f>
        <v>Mondelez</v>
      </c>
      <c r="F804" s="2" t="str">
        <f xml:space="preserve"> _xll.EPMOlapMemberO("[KEY_FIGURES].[].[AM2ACTUALSHIPMENTS]","","Shipments","","000")</f>
        <v>Shipments</v>
      </c>
      <c r="O804" s="2">
        <v>130.07260600000001</v>
      </c>
      <c r="P804" s="2">
        <v>117.484933</v>
      </c>
      <c r="Q804" s="2">
        <v>130.07260299999999</v>
      </c>
      <c r="R804" s="2">
        <v>125.876712</v>
      </c>
      <c r="S804" s="2">
        <v>130.07260400000001</v>
      </c>
      <c r="T804" s="2">
        <v>125.87671400000001</v>
      </c>
      <c r="U804" s="2">
        <v>130.072607</v>
      </c>
      <c r="V804" s="2">
        <v>130.072607</v>
      </c>
      <c r="W804" s="2">
        <v>125.87670799999999</v>
      </c>
      <c r="X804" s="2">
        <v>130.07260199999999</v>
      </c>
      <c r="Z804" s="2">
        <v>1531.5</v>
      </c>
      <c r="AE804" s="2">
        <v>101.25</v>
      </c>
      <c r="AF804" s="2">
        <v>576</v>
      </c>
      <c r="AG804" s="2">
        <v>288</v>
      </c>
      <c r="AH804" s="2">
        <v>408</v>
      </c>
      <c r="AJ804" s="2">
        <v>-66.5</v>
      </c>
    </row>
    <row r="805" spans="1:38" x14ac:dyDescent="0.35">
      <c r="A805" s="2" t="str">
        <f xml:space="preserve"> _xll.EPMOlapMemberO("[LOCID].[].[Hamburg plant]","","Hamburg plant","","000")</f>
        <v>Hamburg plant</v>
      </c>
      <c r="B805" s="2" t="str">
        <f xml:space="preserve"> _xll.EPMOlapMemberO("[PRDID].[].[999-50654-0074]","","999-50654-0074","","000")</f>
        <v>999-50654-0074</v>
      </c>
      <c r="C805" s="2" t="str">
        <f xml:space="preserve"> _xll.EPMOlapMemberO("[BRAND].[].[ L&amp;M]",""," L&amp;M","","000")</f>
        <v xml:space="preserve"> L&amp;M</v>
      </c>
      <c r="D805" s="2" t="str">
        <f xml:space="preserve"> _xll.EPMOlapMemberO("[AM2MARKETDESCR].[].[SLOVAK REPUBLIC ]","","SLOVAK REPUBLIC ","","000")</f>
        <v xml:space="preserve">SLOVAK REPUBLIC </v>
      </c>
      <c r="E805" s="2" t="str">
        <f xml:space="preserve"> _xll.EPMOlapMemberO("[AM2PARENTCUSTGROUP].[].[Mondelez]","","Mondelez","","000")</f>
        <v>Mondelez</v>
      </c>
      <c r="F805" s="2" t="str">
        <f xml:space="preserve"> _xll.EPMOlapMemberO("[KEY_FIGURES].[].[AM2ORDERINTAKE]","","Sales Order","","000")</f>
        <v>Sales Order</v>
      </c>
      <c r="Z805" s="2">
        <v>552</v>
      </c>
      <c r="AF805" s="2">
        <v>192</v>
      </c>
      <c r="AG805" s="2">
        <v>384</v>
      </c>
    </row>
    <row r="806" spans="1:38" x14ac:dyDescent="0.35">
      <c r="A806" s="2" t="str">
        <f xml:space="preserve"> _xll.EPMOlapMemberO("[LOCID].[].[Hamburg plant]","","Hamburg plant","","000")</f>
        <v>Hamburg plant</v>
      </c>
      <c r="B806" s="2" t="str">
        <f xml:space="preserve"> _xll.EPMOlapMemberO("[PRDID].[].[999-50654-0074]","","999-50654-0074","","000")</f>
        <v>999-50654-0074</v>
      </c>
      <c r="C806" s="2" t="str">
        <f xml:space="preserve"> _xll.EPMOlapMemberO("[BRAND].[].[ L&amp;M]",""," L&amp;M","","000")</f>
        <v xml:space="preserve"> L&amp;M</v>
      </c>
      <c r="D806" s="2" t="str">
        <f xml:space="preserve"> _xll.EPMOlapMemberO("[AM2MARKETDESCR].[].[SLOVAK REPUBLIC ]","","SLOVAK REPUBLIC ","","000")</f>
        <v xml:space="preserve">SLOVAK REPUBLIC </v>
      </c>
      <c r="E806" s="2" t="str">
        <f xml:space="preserve"> _xll.EPMOlapMemberO("[AM2PARENTCUSTGROUP].[].[Mondelez]","","Mondelez","","000")</f>
        <v>Mondelez</v>
      </c>
      <c r="F806" s="2" t="str">
        <f xml:space="preserve"> _xll.EPMOlapMemberO("[KEY_FIGURES].[].[AM2ACTUALSHIPMENTS]","","Shipments","","000")</f>
        <v>Shipments</v>
      </c>
      <c r="O806" s="2">
        <v>46.882193000000001</v>
      </c>
      <c r="P806" s="2">
        <v>42.345205</v>
      </c>
      <c r="Q806" s="2">
        <v>46.882192000000003</v>
      </c>
      <c r="R806" s="2">
        <v>45.369861999999998</v>
      </c>
      <c r="S806" s="2">
        <v>46.882192000000003</v>
      </c>
      <c r="T806" s="2">
        <v>45.369864</v>
      </c>
      <c r="U806" s="2">
        <v>46.882195000000003</v>
      </c>
      <c r="V806" s="2">
        <v>46.882193999999998</v>
      </c>
      <c r="W806" s="2">
        <v>45.369861</v>
      </c>
      <c r="X806" s="2">
        <v>46.882190999999999</v>
      </c>
      <c r="Z806" s="2">
        <v>552</v>
      </c>
      <c r="AF806" s="2">
        <v>192</v>
      </c>
      <c r="AG806" s="2">
        <v>384</v>
      </c>
    </row>
    <row r="807" spans="1:38" x14ac:dyDescent="0.35">
      <c r="A807" s="2" t="str">
        <f xml:space="preserve"> _xll.EPMOlapMemberO("[LOCID].[].[Hamburg plant]","","Hamburg plant","","000")</f>
        <v>Hamburg plant</v>
      </c>
      <c r="B807" s="2" t="str">
        <f xml:space="preserve"> _xll.EPMOlapMemberO("[PRDID].[].[999-50654-0075]","","999-50654-0075","","000")</f>
        <v>999-50654-0075</v>
      </c>
      <c r="C807" s="2" t="str">
        <f xml:space="preserve"> _xll.EPMOlapMemberO("[BRAND].[].[ L&amp;M]",""," L&amp;M","","000")</f>
        <v xml:space="preserve"> L&amp;M</v>
      </c>
      <c r="D807" s="2" t="str">
        <f xml:space="preserve"> _xll.EPMOlapMemberO("[AM2MARKETDESCR].[].[MOLDOVA ]","","MOLDOVA ","","000")</f>
        <v xml:space="preserve">MOLDOVA </v>
      </c>
      <c r="E807" s="2" t="str">
        <f xml:space="preserve"> _xll.EPMOlapMemberO("[AM2PARENTCUSTGROUP].[].[Mondelez]","","Mondelez","","000")</f>
        <v>Mondelez</v>
      </c>
      <c r="F807" s="2" t="str">
        <f xml:space="preserve"> _xll.EPMOlapMemberO("[KEY_FIGURES].[].[AM2ORDERINTAKE]","","Sales Order","","000")</f>
        <v>Sales Order</v>
      </c>
      <c r="AD807" s="2">
        <v>288</v>
      </c>
      <c r="AE807" s="2">
        <v>288</v>
      </c>
    </row>
    <row r="808" spans="1:38" x14ac:dyDescent="0.35">
      <c r="A808" s="2" t="str">
        <f xml:space="preserve"> _xll.EPMOlapMemberO("[LOCID].[].[Hamburg plant]","","Hamburg plant","","000")</f>
        <v>Hamburg plant</v>
      </c>
      <c r="B808" s="2" t="str">
        <f xml:space="preserve"> _xll.EPMOlapMemberO("[PRDID].[].[999-50654-0075]","","999-50654-0075","","000")</f>
        <v>999-50654-0075</v>
      </c>
      <c r="C808" s="2" t="str">
        <f xml:space="preserve"> _xll.EPMOlapMemberO("[BRAND].[].[ L&amp;M]",""," L&amp;M","","000")</f>
        <v xml:space="preserve"> L&amp;M</v>
      </c>
      <c r="D808" s="2" t="str">
        <f xml:space="preserve"> _xll.EPMOlapMemberO("[AM2MARKETDESCR].[].[MOLDOVA ]","","MOLDOVA ","","000")</f>
        <v xml:space="preserve">MOLDOVA </v>
      </c>
      <c r="E808" s="2" t="str">
        <f xml:space="preserve"> _xll.EPMOlapMemberO("[AM2PARENTCUSTGROUP].[].[Mondelez]","","Mondelez","","000")</f>
        <v>Mondelez</v>
      </c>
      <c r="F808" s="2" t="str">
        <f xml:space="preserve"> _xll.EPMOlapMemberO("[KEY_FIGURES].[].[AM2ACTUALSHIPMENTS]","","Shipments","","000")</f>
        <v>Shipments</v>
      </c>
      <c r="AD808" s="2">
        <v>288</v>
      </c>
      <c r="AE808" s="2">
        <v>288</v>
      </c>
    </row>
    <row r="809" spans="1:38" x14ac:dyDescent="0.35">
      <c r="A809" s="2" t="str">
        <f xml:space="preserve"> _xll.EPMOlapMemberO("[LOCID].[].[Hamburg plant]","","Hamburg plant","","000")</f>
        <v>Hamburg plant</v>
      </c>
      <c r="B809" s="2" t="str">
        <f xml:space="preserve"> _xll.EPMOlapMemberO("[PRDID].[].[999-50654-0076]","","999-50654-0076","","000")</f>
        <v>999-50654-0076</v>
      </c>
      <c r="C809" s="2" t="str">
        <f xml:space="preserve"> _xll.EPMOlapMemberO("[BRAND].[].[ L&amp;M]",""," L&amp;M","","000")</f>
        <v xml:space="preserve"> L&amp;M</v>
      </c>
      <c r="D809" s="2" t="str">
        <f xml:space="preserve"> _xll.EPMOlapMemberO("[AM2MARKETDESCR].[].[MOLDOVA ]","","MOLDOVA ","","000")</f>
        <v xml:space="preserve">MOLDOVA </v>
      </c>
      <c r="E809" s="2" t="str">
        <f xml:space="preserve"> _xll.EPMOlapMemberO("[AM2PARENTCUSTGROUP].[].[Mondelez]","","Mondelez","","000")</f>
        <v>Mondelez</v>
      </c>
      <c r="F809" s="2" t="str">
        <f xml:space="preserve"> _xll.EPMOlapMemberO("[KEY_FIGURES].[].[AM2ORDERINTAKE]","","Sales Order","","000")</f>
        <v>Sales Order</v>
      </c>
      <c r="AD809" s="2">
        <v>288</v>
      </c>
      <c r="AI809" s="2">
        <v>60</v>
      </c>
    </row>
    <row r="810" spans="1:38" x14ac:dyDescent="0.35">
      <c r="A810" s="2" t="str">
        <f xml:space="preserve"> _xll.EPMOlapMemberO("[LOCID].[].[Hamburg plant]","","Hamburg plant","","000")</f>
        <v>Hamburg plant</v>
      </c>
      <c r="B810" s="2" t="str">
        <f xml:space="preserve"> _xll.EPMOlapMemberO("[PRDID].[].[999-50654-0076]","","999-50654-0076","","000")</f>
        <v>999-50654-0076</v>
      </c>
      <c r="C810" s="2" t="str">
        <f xml:space="preserve"> _xll.EPMOlapMemberO("[BRAND].[].[ L&amp;M]",""," L&amp;M","","000")</f>
        <v xml:space="preserve"> L&amp;M</v>
      </c>
      <c r="D810" s="2" t="str">
        <f xml:space="preserve"> _xll.EPMOlapMemberO("[AM2MARKETDESCR].[].[MOLDOVA ]","","MOLDOVA ","","000")</f>
        <v xml:space="preserve">MOLDOVA </v>
      </c>
      <c r="E810" s="2" t="str">
        <f xml:space="preserve"> _xll.EPMOlapMemberO("[AM2PARENTCUSTGROUP].[].[Mondelez]","","Mondelez","","000")</f>
        <v>Mondelez</v>
      </c>
      <c r="F810" s="2" t="str">
        <f xml:space="preserve"> _xll.EPMOlapMemberO("[KEY_FIGURES].[].[AM2ACTUALSHIPMENTS]","","Shipments","","000")</f>
        <v>Shipments</v>
      </c>
      <c r="AD810" s="2">
        <v>288</v>
      </c>
      <c r="AI810" s="2">
        <v>60</v>
      </c>
    </row>
    <row r="811" spans="1:38" x14ac:dyDescent="0.35">
      <c r="A811" s="2" t="str">
        <f xml:space="preserve"> _xll.EPMOlapMemberO("[LOCID].[].[Hamburg plant]","","Hamburg plant","","000")</f>
        <v>Hamburg plant</v>
      </c>
      <c r="B811" s="2" t="str">
        <f xml:space="preserve"> _xll.EPMOlapMemberO("[PRDID].[].[999-50654-0078]","","999-50654-0078","","000")</f>
        <v>999-50654-0078</v>
      </c>
      <c r="C811" s="2" t="str">
        <f xml:space="preserve"> _xll.EPMOlapMemberO("[BRAND].[].[ L&amp;M]",""," L&amp;M","","000")</f>
        <v xml:space="preserve"> L&amp;M</v>
      </c>
      <c r="D811" s="2" t="str">
        <f xml:space="preserve"> _xll.EPMOlapMemberO("[AM2MARKETDESCR].[].[POLAND ]","","POLAND ","","000")</f>
        <v xml:space="preserve">POLAND </v>
      </c>
      <c r="E811" s="2" t="str">
        <f xml:space="preserve"> _xll.EPMOlapMemberO("[AM2PARENTCUSTGROUP].[].[Mondelez]","","Mondelez","","000")</f>
        <v>Mondelez</v>
      </c>
      <c r="F811" s="2" t="str">
        <f xml:space="preserve"> _xll.EPMOlapMemberO("[KEY_FIGURES].[].[AM2ORDERINTAKE]","","Sales Order","","000")</f>
        <v>Sales Order</v>
      </c>
      <c r="AD811" s="2">
        <v>2160</v>
      </c>
      <c r="AF811" s="2">
        <v>2448</v>
      </c>
      <c r="AG811" s="2">
        <v>4920</v>
      </c>
      <c r="AH811" s="2">
        <v>2184</v>
      </c>
      <c r="AI811" s="2">
        <v>2544</v>
      </c>
      <c r="AJ811" s="2">
        <v>1668</v>
      </c>
      <c r="AK811" s="2">
        <v>1392</v>
      </c>
    </row>
    <row r="812" spans="1:38" x14ac:dyDescent="0.35">
      <c r="A812" s="2" t="str">
        <f xml:space="preserve"> _xll.EPMOlapMemberO("[LOCID].[].[Hamburg plant]","","Hamburg plant","","000")</f>
        <v>Hamburg plant</v>
      </c>
      <c r="B812" s="2" t="str">
        <f xml:space="preserve"> _xll.EPMOlapMemberO("[PRDID].[].[999-50654-0078]","","999-50654-0078","","000")</f>
        <v>999-50654-0078</v>
      </c>
      <c r="C812" s="2" t="str">
        <f xml:space="preserve"> _xll.EPMOlapMemberO("[BRAND].[].[ L&amp;M]",""," L&amp;M","","000")</f>
        <v xml:space="preserve"> L&amp;M</v>
      </c>
      <c r="D812" s="2" t="str">
        <f xml:space="preserve"> _xll.EPMOlapMemberO("[AM2MARKETDESCR].[].[POLAND ]","","POLAND ","","000")</f>
        <v xml:space="preserve">POLAND </v>
      </c>
      <c r="E812" s="2" t="str">
        <f xml:space="preserve"> _xll.EPMOlapMemberO("[AM2PARENTCUSTGROUP].[].[Mondelez]","","Mondelez","","000")</f>
        <v>Mondelez</v>
      </c>
      <c r="F812" s="2" t="str">
        <f xml:space="preserve"> _xll.EPMOlapMemberO("[KEY_FIGURES].[].[AM2ACTUALSHIPMENTS]","","Shipments","","000")</f>
        <v>Shipments</v>
      </c>
      <c r="AD812" s="2">
        <v>2160</v>
      </c>
      <c r="AF812" s="2">
        <v>2448</v>
      </c>
      <c r="AG812" s="2">
        <v>4920</v>
      </c>
      <c r="AH812" s="2">
        <v>2112</v>
      </c>
      <c r="AI812" s="2">
        <v>2544</v>
      </c>
      <c r="AJ812" s="2">
        <v>1668</v>
      </c>
      <c r="AK812" s="2">
        <v>1392</v>
      </c>
    </row>
    <row r="813" spans="1:38" x14ac:dyDescent="0.35">
      <c r="A813" s="2" t="str">
        <f xml:space="preserve"> _xll.EPMOlapMemberO("[LOCID].[].[Hamburg plant]","","Hamburg plant","","000")</f>
        <v>Hamburg plant</v>
      </c>
      <c r="B813" s="2" t="str">
        <f xml:space="preserve"> _xll.EPMOlapMemberO("[PRDID].[].[999-50654-0079]","","999-50654-0079","","000")</f>
        <v>999-50654-0079</v>
      </c>
      <c r="C813" s="2" t="str">
        <f xml:space="preserve"> _xll.EPMOlapMemberO("[BRAND].[].[ L&amp;M]",""," L&amp;M","","000")</f>
        <v xml:space="preserve"> L&amp;M</v>
      </c>
      <c r="D813" s="2" t="str">
        <f xml:space="preserve"> _xll.EPMOlapMemberO("[AM2MARKETDESCR].[].[ESTONIA ]","","ESTONIA ","","000")</f>
        <v xml:space="preserve">ESTONIA </v>
      </c>
      <c r="E813" s="2" t="str">
        <f xml:space="preserve"> _xll.EPMOlapMemberO("[AM2PARENTCUSTGROUP].[].[Mondelez]","","Mondelez","","000")</f>
        <v>Mondelez</v>
      </c>
      <c r="F813" s="2" t="str">
        <f xml:space="preserve"> _xll.EPMOlapMemberO("[KEY_FIGURES].[].[AM2ORDERINTAKE]","","Sales Order","","000")</f>
        <v>Sales Order</v>
      </c>
      <c r="AD813" s="2">
        <v>101.25</v>
      </c>
      <c r="AF813" s="2">
        <v>56.25</v>
      </c>
    </row>
    <row r="814" spans="1:38" x14ac:dyDescent="0.35">
      <c r="A814" s="2" t="str">
        <f xml:space="preserve"> _xll.EPMOlapMemberO("[LOCID].[].[Hamburg plant]","","Hamburg plant","","000")</f>
        <v>Hamburg plant</v>
      </c>
      <c r="B814" s="2" t="str">
        <f xml:space="preserve"> _xll.EPMOlapMemberO("[PRDID].[].[999-50654-0079]","","999-50654-0079","","000")</f>
        <v>999-50654-0079</v>
      </c>
      <c r="C814" s="2" t="str">
        <f xml:space="preserve"> _xll.EPMOlapMemberO("[BRAND].[].[ L&amp;M]",""," L&amp;M","","000")</f>
        <v xml:space="preserve"> L&amp;M</v>
      </c>
      <c r="D814" s="2" t="str">
        <f xml:space="preserve"> _xll.EPMOlapMemberO("[AM2MARKETDESCR].[].[ESTONIA ]","","ESTONIA ","","000")</f>
        <v xml:space="preserve">ESTONIA </v>
      </c>
      <c r="E814" s="2" t="str">
        <f xml:space="preserve"> _xll.EPMOlapMemberO("[AM2PARENTCUSTGROUP].[].[Mondelez]","","Mondelez","","000")</f>
        <v>Mondelez</v>
      </c>
      <c r="F814" s="2" t="str">
        <f xml:space="preserve"> _xll.EPMOlapMemberO("[KEY_FIGURES].[].[AM2ACTUALSHIPMENTS]","","Shipments","","000")</f>
        <v>Shipments</v>
      </c>
      <c r="AE814" s="2">
        <v>101.25</v>
      </c>
      <c r="AF814" s="2">
        <v>56.25</v>
      </c>
    </row>
    <row r="815" spans="1:38" x14ac:dyDescent="0.35">
      <c r="A815" s="2" t="str">
        <f xml:space="preserve"> _xll.EPMOlapMemberO("[LOCID].[].[Hamburg plant]","","Hamburg plant","","000")</f>
        <v>Hamburg plant</v>
      </c>
      <c r="B815" s="2" t="str">
        <f xml:space="preserve"> _xll.EPMOlapMemberO("[PRDID].[].[999-50654-0080]","","999-50654-0080","","000")</f>
        <v>999-50654-0080</v>
      </c>
      <c r="C815" s="2" t="str">
        <f xml:space="preserve"> _xll.EPMOlapMemberO("[BRAND].[].[ L&amp;M]",""," L&amp;M","","000")</f>
        <v xml:space="preserve"> L&amp;M</v>
      </c>
      <c r="D815" s="2" t="str">
        <f xml:space="preserve"> _xll.EPMOlapMemberO("[AM2MARKETDESCR].[].[SLOVAK REPUBLIC ]","","SLOVAK REPUBLIC ","","000")</f>
        <v xml:space="preserve">SLOVAK REPUBLIC </v>
      </c>
      <c r="E815" s="2" t="str">
        <f xml:space="preserve"> _xll.EPMOlapMemberO("[AM2PARENTCUSTGROUP].[].[Mondelez]","","Mondelez","","000")</f>
        <v>Mondelez</v>
      </c>
      <c r="F815" s="2" t="str">
        <f xml:space="preserve"> _xll.EPMOlapMemberO("[KEY_FIGURES].[].[AM2ORDERINTAKE]","","Sales Order","","000")</f>
        <v>Sales Order</v>
      </c>
      <c r="AF815" s="2">
        <v>2736</v>
      </c>
      <c r="AK815" s="2">
        <v>864</v>
      </c>
      <c r="AL815" s="2">
        <v>1476</v>
      </c>
    </row>
    <row r="816" spans="1:38" x14ac:dyDescent="0.35">
      <c r="A816" s="2" t="str">
        <f xml:space="preserve"> _xll.EPMOlapMemberO("[LOCID].[].[Hamburg plant]","","Hamburg plant","","000")</f>
        <v>Hamburg plant</v>
      </c>
      <c r="B816" s="2" t="str">
        <f xml:space="preserve"> _xll.EPMOlapMemberO("[PRDID].[].[999-50654-0080]","","999-50654-0080","","000")</f>
        <v>999-50654-0080</v>
      </c>
      <c r="C816" s="2" t="str">
        <f xml:space="preserve"> _xll.EPMOlapMemberO("[BRAND].[].[ L&amp;M]",""," L&amp;M","","000")</f>
        <v xml:space="preserve"> L&amp;M</v>
      </c>
      <c r="D816" s="2" t="str">
        <f xml:space="preserve"> _xll.EPMOlapMemberO("[AM2MARKETDESCR].[].[SLOVAK REPUBLIC ]","","SLOVAK REPUBLIC ","","000")</f>
        <v xml:space="preserve">SLOVAK REPUBLIC </v>
      </c>
      <c r="E816" s="2" t="str">
        <f xml:space="preserve"> _xll.EPMOlapMemberO("[AM2PARENTCUSTGROUP].[].[Mondelez]","","Mondelez","","000")</f>
        <v>Mondelez</v>
      </c>
      <c r="F816" s="2" t="str">
        <f xml:space="preserve"> _xll.EPMOlapMemberO("[KEY_FIGURES].[].[AM2ACTUALSHIPMENTS]","","Shipments","","000")</f>
        <v>Shipments</v>
      </c>
      <c r="AF816" s="2">
        <v>2736</v>
      </c>
      <c r="AK816" s="2">
        <v>864</v>
      </c>
      <c r="AL816" s="2">
        <v>1476</v>
      </c>
    </row>
    <row r="817" spans="1:51" x14ac:dyDescent="0.35">
      <c r="A817" s="2" t="str">
        <f xml:space="preserve"> _xll.EPMOlapMemberO("[LOCID].[].[Hamburg plant]","","Hamburg plant","","000")</f>
        <v>Hamburg plant</v>
      </c>
      <c r="B817" s="2" t="str">
        <f xml:space="preserve"> _xll.EPMOlapMemberO("[PRDID].[].[999-50654-0081]","","999-50654-0081","","000")</f>
        <v>999-50654-0081</v>
      </c>
      <c r="C817" s="2" t="str">
        <f xml:space="preserve"> _xll.EPMOlapMemberO("[BRAND].[].[ L&amp;M]",""," L&amp;M","","000")</f>
        <v xml:space="preserve"> L&amp;M</v>
      </c>
      <c r="D817" s="2" t="str">
        <f xml:space="preserve"> _xll.EPMOlapMemberO("[AM2MARKETDESCR].[].[CZECH REPUBLIC ESTIC]","","CZECH REPUBLIC ESTIC","","000")</f>
        <v>CZECH REPUBLIC ESTIC</v>
      </c>
      <c r="E817" s="2" t="str">
        <f xml:space="preserve"> _xll.EPMOlapMemberO("[AM2PARENTCUSTGROUP].[].[Mondelez]","","Mondelez","","000")</f>
        <v>Mondelez</v>
      </c>
      <c r="F817" s="2" t="str">
        <f xml:space="preserve"> _xll.EPMOlapMemberO("[KEY_FIGURES].[].[AM2ORDERINTAKE]","","Sales Order","","000")</f>
        <v>Sales Order</v>
      </c>
      <c r="AE817" s="2">
        <v>506.25</v>
      </c>
      <c r="AI817" s="2">
        <v>191.25</v>
      </c>
    </row>
    <row r="818" spans="1:51" x14ac:dyDescent="0.35">
      <c r="A818" s="2" t="str">
        <f xml:space="preserve"> _xll.EPMOlapMemberO("[LOCID].[].[Hamburg plant]","","Hamburg plant","","000")</f>
        <v>Hamburg plant</v>
      </c>
      <c r="B818" s="2" t="str">
        <f xml:space="preserve"> _xll.EPMOlapMemberO("[PRDID].[].[999-50654-0081]","","999-50654-0081","","000")</f>
        <v>999-50654-0081</v>
      </c>
      <c r="C818" s="2" t="str">
        <f xml:space="preserve"> _xll.EPMOlapMemberO("[BRAND].[].[ L&amp;M]",""," L&amp;M","","000")</f>
        <v xml:space="preserve"> L&amp;M</v>
      </c>
      <c r="D818" s="2" t="str">
        <f xml:space="preserve"> _xll.EPMOlapMemberO("[AM2MARKETDESCR].[].[CZECH REPUBLIC ESTIC]","","CZECH REPUBLIC ESTIC","","000")</f>
        <v>CZECH REPUBLIC ESTIC</v>
      </c>
      <c r="E818" s="2" t="str">
        <f xml:space="preserve"> _xll.EPMOlapMemberO("[AM2PARENTCUSTGROUP].[].[Mondelez]","","Mondelez","","000")</f>
        <v>Mondelez</v>
      </c>
      <c r="F818" s="2" t="str">
        <f xml:space="preserve"> _xll.EPMOlapMemberO("[KEY_FIGURES].[].[AM2ACTUALSHIPMENTS]","","Shipments","","000")</f>
        <v>Shipments</v>
      </c>
      <c r="AE818" s="2">
        <v>506.25</v>
      </c>
      <c r="AI818" s="2">
        <v>191.25</v>
      </c>
    </row>
    <row r="819" spans="1:51" x14ac:dyDescent="0.35">
      <c r="A819" s="2" t="str">
        <f xml:space="preserve"> _xll.EPMOlapMemberO("[LOCID].[].[Hamburg plant]","","Hamburg plant","","000")</f>
        <v>Hamburg plant</v>
      </c>
      <c r="B819" s="2" t="str">
        <f xml:space="preserve"> _xll.EPMOlapMemberO("[PRDID].[].[999-50654-0082]","","999-50654-0082","","000")</f>
        <v>999-50654-0082</v>
      </c>
      <c r="C819" s="2" t="str">
        <f xml:space="preserve"> _xll.EPMOlapMemberO("[BRAND].[].[ L&amp;M]",""," L&amp;M","","000")</f>
        <v xml:space="preserve"> L&amp;M</v>
      </c>
      <c r="D819" s="2" t="str">
        <f xml:space="preserve"> _xll.EPMOlapMemberO("[AM2MARKETDESCR].[].[CZECH REPUBLIC ESTIC]","","CZECH REPUBLIC ESTIC","","000")</f>
        <v>CZECH REPUBLIC ESTIC</v>
      </c>
      <c r="E819" s="2" t="str">
        <f xml:space="preserve"> _xll.EPMOlapMemberO("[AM2PARENTCUSTGROUP].[].[Mondelez]","","Mondelez","","000")</f>
        <v>Mondelez</v>
      </c>
      <c r="F819" s="2" t="str">
        <f xml:space="preserve"> _xll.EPMOlapMemberO("[KEY_FIGURES].[].[AM2ORDERINTAKE]","","Sales Order","","000")</f>
        <v>Sales Order</v>
      </c>
      <c r="AE819" s="2">
        <v>472.5</v>
      </c>
      <c r="AI819" s="2">
        <v>315</v>
      </c>
    </row>
    <row r="820" spans="1:51" x14ac:dyDescent="0.35">
      <c r="A820" s="2" t="str">
        <f xml:space="preserve"> _xll.EPMOlapMemberO("[LOCID].[].[Hamburg plant]","","Hamburg plant","","000")</f>
        <v>Hamburg plant</v>
      </c>
      <c r="B820" s="2" t="str">
        <f xml:space="preserve"> _xll.EPMOlapMemberO("[PRDID].[].[999-50654-0082]","","999-50654-0082","","000")</f>
        <v>999-50654-0082</v>
      </c>
      <c r="C820" s="2" t="str">
        <f xml:space="preserve"> _xll.EPMOlapMemberO("[BRAND].[].[ L&amp;M]",""," L&amp;M","","000")</f>
        <v xml:space="preserve"> L&amp;M</v>
      </c>
      <c r="D820" s="2" t="str">
        <f xml:space="preserve"> _xll.EPMOlapMemberO("[AM2MARKETDESCR].[].[CZECH REPUBLIC ESTIC]","","CZECH REPUBLIC ESTIC","","000")</f>
        <v>CZECH REPUBLIC ESTIC</v>
      </c>
      <c r="E820" s="2" t="str">
        <f xml:space="preserve"> _xll.EPMOlapMemberO("[AM2PARENTCUSTGROUP].[].[Mondelez]","","Mondelez","","000")</f>
        <v>Mondelez</v>
      </c>
      <c r="F820" s="2" t="str">
        <f xml:space="preserve"> _xll.EPMOlapMemberO("[KEY_FIGURES].[].[AM2ACTUALSHIPMENTS]","","Shipments","","000")</f>
        <v>Shipments</v>
      </c>
      <c r="AE820" s="2">
        <v>472.5</v>
      </c>
      <c r="AI820" s="2">
        <v>315</v>
      </c>
    </row>
    <row r="821" spans="1:51" x14ac:dyDescent="0.35">
      <c r="A821" s="2" t="str">
        <f xml:space="preserve"> _xll.EPMOlapMemberO("[LOCID].[].[Hamburg plant]","","Hamburg plant","","000")</f>
        <v>Hamburg plant</v>
      </c>
      <c r="B821" s="2" t="str">
        <f xml:space="preserve"> _xll.EPMOlapMemberO("[PRDID].[].[999-50654-0083]","","999-50654-0083","","000")</f>
        <v>999-50654-0083</v>
      </c>
      <c r="C821" s="2" t="str">
        <f xml:space="preserve"> _xll.EPMOlapMemberO("[BRAND].[].[ L&amp;M]",""," L&amp;M","","000")</f>
        <v xml:space="preserve"> L&amp;M</v>
      </c>
      <c r="D821" s="2" t="str">
        <f xml:space="preserve"> _xll.EPMOlapMemberO("[AM2MARKETDESCR].[].[SLOVAK REPUBLIC ]","","SLOVAK REPUBLIC ","","000")</f>
        <v xml:space="preserve">SLOVAK REPUBLIC </v>
      </c>
      <c r="E821" s="2" t="str">
        <f xml:space="preserve"> _xll.EPMOlapMemberO("[AM2PARENTCUSTGROUP].[].[Mondelez]","","Mondelez","","000")</f>
        <v>Mondelez</v>
      </c>
      <c r="F821" s="2" t="str">
        <f xml:space="preserve"> _xll.EPMOlapMemberO("[KEY_FIGURES].[].[AM2ORDERINTAKE]","","Sales Order","","000")</f>
        <v>Sales Order</v>
      </c>
      <c r="AF821" s="2">
        <v>1584</v>
      </c>
      <c r="AK821" s="2">
        <v>576</v>
      </c>
      <c r="AL821" s="2">
        <v>924</v>
      </c>
    </row>
    <row r="822" spans="1:51" x14ac:dyDescent="0.35">
      <c r="A822" s="2" t="str">
        <f xml:space="preserve"> _xll.EPMOlapMemberO("[LOCID].[].[Hamburg plant]","","Hamburg plant","","000")</f>
        <v>Hamburg plant</v>
      </c>
      <c r="B822" s="2" t="str">
        <f xml:space="preserve"> _xll.EPMOlapMemberO("[PRDID].[].[999-50654-0083]","","999-50654-0083","","000")</f>
        <v>999-50654-0083</v>
      </c>
      <c r="C822" s="2" t="str">
        <f xml:space="preserve"> _xll.EPMOlapMemberO("[BRAND].[].[ L&amp;M]",""," L&amp;M","","000")</f>
        <v xml:space="preserve"> L&amp;M</v>
      </c>
      <c r="D822" s="2" t="str">
        <f xml:space="preserve"> _xll.EPMOlapMemberO("[AM2MARKETDESCR].[].[SLOVAK REPUBLIC ]","","SLOVAK REPUBLIC ","","000")</f>
        <v xml:space="preserve">SLOVAK REPUBLIC </v>
      </c>
      <c r="E822" s="2" t="str">
        <f xml:space="preserve"> _xll.EPMOlapMemberO("[AM2PARENTCUSTGROUP].[].[Mondelez]","","Mondelez","","000")</f>
        <v>Mondelez</v>
      </c>
      <c r="F822" s="2" t="str">
        <f xml:space="preserve"> _xll.EPMOlapMemberO("[KEY_FIGURES].[].[AM2ACTUALSHIPMENTS]","","Shipments","","000")</f>
        <v>Shipments</v>
      </c>
      <c r="AF822" s="2">
        <v>1584</v>
      </c>
      <c r="AK822" s="2">
        <v>576</v>
      </c>
      <c r="AL822" s="2">
        <v>924</v>
      </c>
    </row>
    <row r="823" spans="1:51" x14ac:dyDescent="0.35">
      <c r="A823" s="2" t="str">
        <f xml:space="preserve"> _xll.EPMOlapMemberO("[LOCID].[].[Hamburg plant]","","Hamburg plant","","000")</f>
        <v>Hamburg plant</v>
      </c>
      <c r="B823" s="2" t="str">
        <f xml:space="preserve"> _xll.EPMOlapMemberO("[PRDID].[].[999-50654-0084]","","999-50654-0084","","000")</f>
        <v>999-50654-0084</v>
      </c>
      <c r="C823" s="2" t="str">
        <f xml:space="preserve"> _xll.EPMOlapMemberO("[BRAND].[].[ L&amp;M]",""," L&amp;M","","000")</f>
        <v xml:space="preserve"> L&amp;M</v>
      </c>
      <c r="D823" s="2" t="str">
        <f xml:space="preserve"> _xll.EPMOlapMemberO("[AM2MARKETDESCR].[].[SLOVAK REPUBLIC ]","","SLOVAK REPUBLIC ","","000")</f>
        <v xml:space="preserve">SLOVAK REPUBLIC </v>
      </c>
      <c r="E823" s="2" t="str">
        <f xml:space="preserve"> _xll.EPMOlapMemberO("[AM2PARENTCUSTGROUP].[].[Mondelez]","","Mondelez","","000")</f>
        <v>Mondelez</v>
      </c>
      <c r="F823" s="2" t="str">
        <f xml:space="preserve"> _xll.EPMOlapMemberO("[KEY_FIGURES].[].[AM2ORDERINTAKE]","","Sales Order","","000")</f>
        <v>Sales Order</v>
      </c>
      <c r="AF823" s="2">
        <v>864</v>
      </c>
      <c r="AK823" s="2">
        <v>144</v>
      </c>
      <c r="AL823" s="2">
        <v>324</v>
      </c>
    </row>
    <row r="824" spans="1:51" x14ac:dyDescent="0.35">
      <c r="A824" s="2" t="str">
        <f xml:space="preserve"> _xll.EPMOlapMemberO("[LOCID].[].[Hamburg plant]","","Hamburg plant","","000")</f>
        <v>Hamburg plant</v>
      </c>
      <c r="B824" s="2" t="str">
        <f xml:space="preserve"> _xll.EPMOlapMemberO("[PRDID].[].[999-50654-0084]","","999-50654-0084","","000")</f>
        <v>999-50654-0084</v>
      </c>
      <c r="C824" s="2" t="str">
        <f xml:space="preserve"> _xll.EPMOlapMemberO("[BRAND].[].[ L&amp;M]",""," L&amp;M","","000")</f>
        <v xml:space="preserve"> L&amp;M</v>
      </c>
      <c r="D824" s="2" t="str">
        <f xml:space="preserve"> _xll.EPMOlapMemberO("[AM2MARKETDESCR].[].[SLOVAK REPUBLIC ]","","SLOVAK REPUBLIC ","","000")</f>
        <v xml:space="preserve">SLOVAK REPUBLIC </v>
      </c>
      <c r="E824" s="2" t="str">
        <f xml:space="preserve"> _xll.EPMOlapMemberO("[AM2PARENTCUSTGROUP].[].[Mondelez]","","Mondelez","","000")</f>
        <v>Mondelez</v>
      </c>
      <c r="F824" s="2" t="str">
        <f xml:space="preserve"> _xll.EPMOlapMemberO("[KEY_FIGURES].[].[AM2ACTUALSHIPMENTS]","","Shipments","","000")</f>
        <v>Shipments</v>
      </c>
      <c r="AF824" s="2">
        <v>864</v>
      </c>
      <c r="AK824" s="2">
        <v>144</v>
      </c>
      <c r="AL824" s="2">
        <v>324</v>
      </c>
    </row>
    <row r="825" spans="1:51" x14ac:dyDescent="0.35">
      <c r="A825" s="2" t="str">
        <f xml:space="preserve"> _xll.EPMOlapMemberO("[LOCID].[].[Hamburg plant]","","Hamburg plant","","000")</f>
        <v>Hamburg plant</v>
      </c>
      <c r="B825" s="2" t="str">
        <f xml:space="preserve"> _xll.EPMOlapMemberO("[PRDID].[].[999-50654-0085]","","999-50654-0085","","000")</f>
        <v>999-50654-0085</v>
      </c>
      <c r="C825" s="2" t="str">
        <f xml:space="preserve"> _xll.EPMOlapMemberO("[BRAND].[].[ L&amp;M]",""," L&amp;M","","000")</f>
        <v xml:space="preserve"> L&amp;M</v>
      </c>
      <c r="D825" s="2" t="str">
        <f xml:space="preserve"> _xll.EPMOlapMemberO("[AM2MARKETDESCR].[].[GREEK CYPRUS ]","","GREEK CYPRUS ","","000")</f>
        <v xml:space="preserve">GREEK CYPRUS </v>
      </c>
      <c r="E825" s="2" t="str">
        <f xml:space="preserve"> _xll.EPMOlapMemberO("[AM2PARENTCUSTGROUP].[].[Mondelez]","","Mondelez","","000")</f>
        <v>Mondelez</v>
      </c>
      <c r="F825" s="2" t="str">
        <f xml:space="preserve"> _xll.EPMOlapMemberO("[KEY_FIGURES].[].[AM2ORDERINTAKE]","","Sales Order","","000")</f>
        <v>Sales Order</v>
      </c>
      <c r="AH825" s="2">
        <v>96</v>
      </c>
      <c r="AM825" s="2">
        <v>144</v>
      </c>
      <c r="AO825" s="2">
        <v>432</v>
      </c>
    </row>
    <row r="826" spans="1:51" x14ac:dyDescent="0.35">
      <c r="A826" s="2" t="str">
        <f xml:space="preserve"> _xll.EPMOlapMemberO("[LOCID].[].[Hamburg plant]","","Hamburg plant","","000")</f>
        <v>Hamburg plant</v>
      </c>
      <c r="B826" s="2" t="str">
        <f xml:space="preserve"> _xll.EPMOlapMemberO("[PRDID].[].[999-50654-0085]","","999-50654-0085","","000")</f>
        <v>999-50654-0085</v>
      </c>
      <c r="C826" s="2" t="str">
        <f xml:space="preserve"> _xll.EPMOlapMemberO("[BRAND].[].[ L&amp;M]",""," L&amp;M","","000")</f>
        <v xml:space="preserve"> L&amp;M</v>
      </c>
      <c r="D826" s="2" t="str">
        <f xml:space="preserve"> _xll.EPMOlapMemberO("[AM2MARKETDESCR].[].[GREEK CYPRUS ]","","GREEK CYPRUS ","","000")</f>
        <v xml:space="preserve">GREEK CYPRUS </v>
      </c>
      <c r="E826" s="2" t="str">
        <f xml:space="preserve"> _xll.EPMOlapMemberO("[AM2PARENTCUSTGROUP].[].[Mondelez]","","Mondelez","","000")</f>
        <v>Mondelez</v>
      </c>
      <c r="F826" s="2" t="str">
        <f xml:space="preserve"> _xll.EPMOlapMemberO("[KEY_FIGURES].[].[AM2ACTUALSHIPMENTS]","","Shipments","","000")</f>
        <v>Shipments</v>
      </c>
      <c r="AH826" s="2">
        <v>96</v>
      </c>
      <c r="AM826" s="2">
        <v>144</v>
      </c>
      <c r="AO826" s="2">
        <v>432</v>
      </c>
    </row>
    <row r="827" spans="1:51" x14ac:dyDescent="0.35">
      <c r="A827" s="2" t="str">
        <f xml:space="preserve"> _xll.EPMOlapMemberO("[LOCID].[].[Hamburg plant]","","Hamburg plant","","000")</f>
        <v>Hamburg plant</v>
      </c>
      <c r="B827" s="2" t="str">
        <f xml:space="preserve"> _xll.EPMOlapMemberO("[PRDID].[].[999-50654-0086]","","999-50654-0086","","000")</f>
        <v>999-50654-0086</v>
      </c>
      <c r="C827" s="2" t="str">
        <f xml:space="preserve"> _xll.EPMOlapMemberO("[BRAND].[].[ L&amp;M]",""," L&amp;M","","000")</f>
        <v xml:space="preserve"> L&amp;M</v>
      </c>
      <c r="D827" s="2" t="str">
        <f xml:space="preserve"> _xll.EPMOlapMemberO("[AM2MARKETDESCR].[].[GREEK CYPRUS ]","","GREEK CYPRUS ","","000")</f>
        <v xml:space="preserve">GREEK CYPRUS </v>
      </c>
      <c r="E827" s="2" t="str">
        <f xml:space="preserve"> _xll.EPMOlapMemberO("[AM2PARENTCUSTGROUP].[].[Mondelez]","","Mondelez","","000")</f>
        <v>Mondelez</v>
      </c>
      <c r="F827" s="2" t="str">
        <f xml:space="preserve"> _xll.EPMOlapMemberO("[KEY_FIGURES].[].[AM2ORDERINTAKE]","","Sales Order","","000")</f>
        <v>Sales Order</v>
      </c>
      <c r="AH827" s="2">
        <v>144</v>
      </c>
      <c r="AO827" s="2">
        <v>168</v>
      </c>
    </row>
    <row r="828" spans="1:51" x14ac:dyDescent="0.35">
      <c r="A828" s="2" t="str">
        <f xml:space="preserve"> _xll.EPMOlapMemberO("[LOCID].[].[Hamburg plant]","","Hamburg plant","","000")</f>
        <v>Hamburg plant</v>
      </c>
      <c r="B828" s="2" t="str">
        <f xml:space="preserve"> _xll.EPMOlapMemberO("[PRDID].[].[999-50654-0086]","","999-50654-0086","","000")</f>
        <v>999-50654-0086</v>
      </c>
      <c r="C828" s="2" t="str">
        <f xml:space="preserve"> _xll.EPMOlapMemberO("[BRAND].[].[ L&amp;M]",""," L&amp;M","","000")</f>
        <v xml:space="preserve"> L&amp;M</v>
      </c>
      <c r="D828" s="2" t="str">
        <f xml:space="preserve"> _xll.EPMOlapMemberO("[AM2MARKETDESCR].[].[GREEK CYPRUS ]","","GREEK CYPRUS ","","000")</f>
        <v xml:space="preserve">GREEK CYPRUS </v>
      </c>
      <c r="E828" s="2" t="str">
        <f xml:space="preserve"> _xll.EPMOlapMemberO("[AM2PARENTCUSTGROUP].[].[Mondelez]","","Mondelez","","000")</f>
        <v>Mondelez</v>
      </c>
      <c r="F828" s="2" t="str">
        <f xml:space="preserve"> _xll.EPMOlapMemberO("[KEY_FIGURES].[].[AM2ACTUALSHIPMENTS]","","Shipments","","000")</f>
        <v>Shipments</v>
      </c>
      <c r="AH828" s="2">
        <v>144</v>
      </c>
      <c r="AO828" s="2">
        <v>168</v>
      </c>
    </row>
    <row r="829" spans="1:51" x14ac:dyDescent="0.35">
      <c r="A829" s="2" t="str">
        <f xml:space="preserve"> _xll.EPMOlapMemberO("[LOCID].[].[Hamburg plant]","","Hamburg plant","","000")</f>
        <v>Hamburg plant</v>
      </c>
      <c r="B829" s="2" t="str">
        <f xml:space="preserve"> _xll.EPMOlapMemberO("[PRDID].[].[999-50654-0087]","","999-50654-0087","","000")</f>
        <v>999-50654-0087</v>
      </c>
      <c r="C829" s="2" t="str">
        <f xml:space="preserve"> _xll.EPMOlapMemberO("[BRAND].[].[ L&amp;M]",""," L&amp;M","","000")</f>
        <v xml:space="preserve"> L&amp;M</v>
      </c>
      <c r="D829" s="2" t="str">
        <f xml:space="preserve"> _xll.EPMOlapMemberO("[AM2MARKETDESCR].[].[SLOVAK REPUBLIC ]","","SLOVAK REPUBLIC ","","000")</f>
        <v xml:space="preserve">SLOVAK REPUBLIC </v>
      </c>
      <c r="E829" s="2" t="str">
        <f xml:space="preserve"> _xll.EPMOlapMemberO("[AM2PARENTCUSTGROUP].[].[__NULL]","","(None)","","000")</f>
        <v>(None)</v>
      </c>
      <c r="F829" s="2" t="str">
        <f xml:space="preserve"> _xll.EPMOlapMemberO("[KEY_FIGURES].[].[CONFIRMEDPRODUCTION]","","Production Order","","000")</f>
        <v>Production Order</v>
      </c>
      <c r="AY829" s="2">
        <v>967.5</v>
      </c>
    </row>
    <row r="830" spans="1:51" x14ac:dyDescent="0.35">
      <c r="A830" s="2" t="str">
        <f xml:space="preserve"> _xll.EPMOlapMemberO("[LOCID].[].[Hamburg plant]","","Hamburg plant","","000")</f>
        <v>Hamburg plant</v>
      </c>
      <c r="B830" s="2" t="str">
        <f xml:space="preserve"> _xll.EPMOlapMemberO("[PRDID].[].[999-50654-0087]","","999-50654-0087","","000")</f>
        <v>999-50654-0087</v>
      </c>
      <c r="C830" s="2" t="str">
        <f xml:space="preserve"> _xll.EPMOlapMemberO("[BRAND].[].[ L&amp;M]",""," L&amp;M","","000")</f>
        <v xml:space="preserve"> L&amp;M</v>
      </c>
      <c r="D830" s="2" t="str">
        <f xml:space="preserve"> _xll.EPMOlapMemberO("[AM2MARKETDESCR].[].[SLOVAK REPUBLIC ]","","SLOVAK REPUBLIC ","","000")</f>
        <v xml:space="preserve">SLOVAK REPUBLIC </v>
      </c>
      <c r="E830" s="2" t="str">
        <f xml:space="preserve"> _xll.EPMOlapMemberO("[AM2PARENTCUSTGROUP].[].[Mondelez]","","Mondelez","","000")</f>
        <v>Mondelez</v>
      </c>
      <c r="F830" s="2" t="str">
        <f xml:space="preserve"> _xll.EPMOlapMemberO("[KEY_FIGURES].[].[AM2ORDERINTAKE]","","Sales Order","","000")</f>
        <v>Sales Order</v>
      </c>
      <c r="AM830" s="2">
        <v>384</v>
      </c>
      <c r="AO830" s="2">
        <v>1125</v>
      </c>
      <c r="AR830" s="2">
        <v>866.25</v>
      </c>
    </row>
    <row r="831" spans="1:51" x14ac:dyDescent="0.35">
      <c r="A831" s="2" t="str">
        <f xml:space="preserve"> _xll.EPMOlapMemberO("[LOCID].[].[Hamburg plant]","","Hamburg plant","","000")</f>
        <v>Hamburg plant</v>
      </c>
      <c r="B831" s="2" t="str">
        <f xml:space="preserve"> _xll.EPMOlapMemberO("[PRDID].[].[999-50654-0087]","","999-50654-0087","","000")</f>
        <v>999-50654-0087</v>
      </c>
      <c r="C831" s="2" t="str">
        <f xml:space="preserve"> _xll.EPMOlapMemberO("[BRAND].[].[ L&amp;M]",""," L&amp;M","","000")</f>
        <v xml:space="preserve"> L&amp;M</v>
      </c>
      <c r="D831" s="2" t="str">
        <f xml:space="preserve"> _xll.EPMOlapMemberO("[AM2MARKETDESCR].[].[SLOVAK REPUBLIC ]","","SLOVAK REPUBLIC ","","000")</f>
        <v xml:space="preserve">SLOVAK REPUBLIC </v>
      </c>
      <c r="E831" s="2" t="str">
        <f xml:space="preserve"> _xll.EPMOlapMemberO("[AM2PARENTCUSTGROUP].[].[Mondelez]","","Mondelez","","000")</f>
        <v>Mondelez</v>
      </c>
      <c r="F831" s="2" t="str">
        <f xml:space="preserve"> _xll.EPMOlapMemberO("[KEY_FIGURES].[].[AM2ACTUALSHIPMENTS]","","Shipments","","000")</f>
        <v>Shipments</v>
      </c>
      <c r="AM831" s="2">
        <v>384</v>
      </c>
      <c r="AO831" s="2">
        <v>1125</v>
      </c>
    </row>
    <row r="832" spans="1:51" x14ac:dyDescent="0.35">
      <c r="A832" s="2" t="str">
        <f xml:space="preserve"> _xll.EPMOlapMemberO("[LOCID].[].[Hamburg plant]","","Hamburg plant","","000")</f>
        <v>Hamburg plant</v>
      </c>
      <c r="B832" s="2" t="str">
        <f xml:space="preserve"> _xll.EPMOlapMemberO("[PRDID].[].[999-50654-0088]","","999-50654-0088","","000")</f>
        <v>999-50654-0088</v>
      </c>
      <c r="C832" s="2" t="str">
        <f xml:space="preserve"> _xll.EPMOlapMemberO("[BRAND].[].[ L&amp;M]",""," L&amp;M","","000")</f>
        <v xml:space="preserve"> L&amp;M</v>
      </c>
      <c r="D832" s="2" t="str">
        <f xml:space="preserve"> _xll.EPMOlapMemberO("[AM2MARKETDESCR].[].[SLOVAK REPUBLIC ]","","SLOVAK REPUBLIC ","","000")</f>
        <v xml:space="preserve">SLOVAK REPUBLIC </v>
      </c>
      <c r="E832" s="2" t="str">
        <f xml:space="preserve"> _xll.EPMOlapMemberO("[AM2PARENTCUSTGROUP].[].[__NULL]","","(None)","","000")</f>
        <v>(None)</v>
      </c>
      <c r="F832" s="2" t="str">
        <f xml:space="preserve"> _xll.EPMOlapMemberO("[KEY_FIGURES].[].[INITIALINVENTORY]","","Stock","","000")</f>
        <v>Stock</v>
      </c>
      <c r="AQ832" s="2">
        <v>1792.5</v>
      </c>
    </row>
    <row r="833" spans="1:51" x14ac:dyDescent="0.35">
      <c r="A833" s="2" t="str">
        <f xml:space="preserve"> _xll.EPMOlapMemberO("[LOCID].[].[Hamburg plant]","","Hamburg plant","","000")</f>
        <v>Hamburg plant</v>
      </c>
      <c r="B833" s="2" t="str">
        <f xml:space="preserve"> _xll.EPMOlapMemberO("[PRDID].[].[999-50654-0088]","","999-50654-0088","","000")</f>
        <v>999-50654-0088</v>
      </c>
      <c r="C833" s="2" t="str">
        <f xml:space="preserve"> _xll.EPMOlapMemberO("[BRAND].[].[ L&amp;M]",""," L&amp;M","","000")</f>
        <v xml:space="preserve"> L&amp;M</v>
      </c>
      <c r="D833" s="2" t="str">
        <f xml:space="preserve"> _xll.EPMOlapMemberO("[AM2MARKETDESCR].[].[SLOVAK REPUBLIC ]","","SLOVAK REPUBLIC ","","000")</f>
        <v xml:space="preserve">SLOVAK REPUBLIC </v>
      </c>
      <c r="E833" s="2" t="str">
        <f xml:space="preserve"> _xll.EPMOlapMemberO("[AM2PARENTCUSTGROUP].[].[__NULL]","","(None)","","000")</f>
        <v>(None)</v>
      </c>
      <c r="F833" s="2" t="str">
        <f xml:space="preserve"> _xll.EPMOlapMemberO("[KEY_FIGURES].[].[CONFIRMEDPRODUCTION]","","Production Order","","000")</f>
        <v>Production Order</v>
      </c>
      <c r="AQ833" s="2">
        <v>157.5</v>
      </c>
      <c r="AS833" s="2">
        <v>2891.25</v>
      </c>
      <c r="AW833" s="2">
        <v>1878.75</v>
      </c>
    </row>
    <row r="834" spans="1:51" x14ac:dyDescent="0.35">
      <c r="A834" s="2" t="str">
        <f xml:space="preserve"> _xll.EPMOlapMemberO("[LOCID].[].[Hamburg plant]","","Hamburg plant","","000")</f>
        <v>Hamburg plant</v>
      </c>
      <c r="B834" s="2" t="str">
        <f xml:space="preserve"> _xll.EPMOlapMemberO("[PRDID].[].[999-50654-0088]","","999-50654-0088","","000")</f>
        <v>999-50654-0088</v>
      </c>
      <c r="C834" s="2" t="str">
        <f xml:space="preserve"> _xll.EPMOlapMemberO("[BRAND].[].[ L&amp;M]",""," L&amp;M","","000")</f>
        <v xml:space="preserve"> L&amp;M</v>
      </c>
      <c r="D834" s="2" t="str">
        <f xml:space="preserve"> _xll.EPMOlapMemberO("[AM2MARKETDESCR].[].[SLOVAK REPUBLIC ]","","SLOVAK REPUBLIC ","","000")</f>
        <v xml:space="preserve">SLOVAK REPUBLIC </v>
      </c>
      <c r="E834" s="2" t="str">
        <f xml:space="preserve"> _xll.EPMOlapMemberO("[AM2PARENTCUSTGROUP].[].[Mondelez]","","Mondelez","","000")</f>
        <v>Mondelez</v>
      </c>
      <c r="F834" s="2" t="str">
        <f xml:space="preserve"> _xll.EPMOlapMemberO("[KEY_FIGURES].[].[AM2ORDERINTAKE]","","Sales Order","","000")</f>
        <v>Sales Order</v>
      </c>
      <c r="AM834" s="2">
        <v>1440</v>
      </c>
      <c r="AO834" s="2">
        <v>1732.5</v>
      </c>
      <c r="AQ834" s="2">
        <v>1890</v>
      </c>
    </row>
    <row r="835" spans="1:51" x14ac:dyDescent="0.35">
      <c r="A835" s="2" t="str">
        <f xml:space="preserve"> _xll.EPMOlapMemberO("[LOCID].[].[Hamburg plant]","","Hamburg plant","","000")</f>
        <v>Hamburg plant</v>
      </c>
      <c r="B835" s="2" t="str">
        <f xml:space="preserve"> _xll.EPMOlapMemberO("[PRDID].[].[999-50654-0088]","","999-50654-0088","","000")</f>
        <v>999-50654-0088</v>
      </c>
      <c r="C835" s="2" t="str">
        <f xml:space="preserve"> _xll.EPMOlapMemberO("[BRAND].[].[ L&amp;M]",""," L&amp;M","","000")</f>
        <v xml:space="preserve"> L&amp;M</v>
      </c>
      <c r="D835" s="2" t="str">
        <f xml:space="preserve"> _xll.EPMOlapMemberO("[AM2MARKETDESCR].[].[SLOVAK REPUBLIC ]","","SLOVAK REPUBLIC ","","000")</f>
        <v xml:space="preserve">SLOVAK REPUBLIC </v>
      </c>
      <c r="E835" s="2" t="str">
        <f xml:space="preserve"> _xll.EPMOlapMemberO("[AM2PARENTCUSTGROUP].[].[Mondelez]","","Mondelez","","000")</f>
        <v>Mondelez</v>
      </c>
      <c r="F835" s="2" t="str">
        <f xml:space="preserve"> _xll.EPMOlapMemberO("[KEY_FIGURES].[].[AM2ACTUALSHIPMENTS]","","Shipments","","000")</f>
        <v>Shipments</v>
      </c>
      <c r="AM835" s="2">
        <v>1440</v>
      </c>
      <c r="AO835" s="2">
        <v>1732.5</v>
      </c>
    </row>
    <row r="836" spans="1:51" x14ac:dyDescent="0.35">
      <c r="A836" s="2" t="str">
        <f xml:space="preserve"> _xll.EPMOlapMemberO("[LOCID].[].[Hamburg plant]","","Hamburg plant","","000")</f>
        <v>Hamburg plant</v>
      </c>
      <c r="B836" s="2" t="str">
        <f xml:space="preserve"> _xll.EPMOlapMemberO("[PRDID].[].[999-50654-0090]","","999-50654-0090","","000")</f>
        <v>999-50654-0090</v>
      </c>
      <c r="C836" s="2" t="str">
        <f xml:space="preserve"> _xll.EPMOlapMemberO("[BRAND].[].[ L&amp;M]",""," L&amp;M","","000")</f>
        <v xml:space="preserve"> L&amp;M</v>
      </c>
      <c r="D836" s="2" t="str">
        <f xml:space="preserve"> _xll.EPMOlapMemberO("[AM2MARKETDESCR].[].[ESTONIA ]","","ESTONIA ","","000")</f>
        <v xml:space="preserve">ESTONIA </v>
      </c>
      <c r="E836" s="2" t="str">
        <f xml:space="preserve"> _xll.EPMOlapMemberO("[AM2PARENTCUSTGROUP].[].[Mondelez]","","Mondelez","","000")</f>
        <v>Mondelez</v>
      </c>
      <c r="F836" s="2" t="str">
        <f xml:space="preserve"> _xll.EPMOlapMemberO("[KEY_FIGURES].[].[AM2ORDERINTAKE]","","Sales Order","","000")</f>
        <v>Sales Order</v>
      </c>
      <c r="AK836" s="2">
        <v>180</v>
      </c>
      <c r="AQ836" s="2">
        <v>112.5</v>
      </c>
    </row>
    <row r="837" spans="1:51" x14ac:dyDescent="0.35">
      <c r="A837" s="2" t="str">
        <f xml:space="preserve"> _xll.EPMOlapMemberO("[LOCID].[].[Hamburg plant]","","Hamburg plant","","000")</f>
        <v>Hamburg plant</v>
      </c>
      <c r="B837" s="2" t="str">
        <f xml:space="preserve"> _xll.EPMOlapMemberO("[PRDID].[].[999-50654-0090]","","999-50654-0090","","000")</f>
        <v>999-50654-0090</v>
      </c>
      <c r="C837" s="2" t="str">
        <f xml:space="preserve"> _xll.EPMOlapMemberO("[BRAND].[].[ L&amp;M]",""," L&amp;M","","000")</f>
        <v xml:space="preserve"> L&amp;M</v>
      </c>
      <c r="D837" s="2" t="str">
        <f xml:space="preserve"> _xll.EPMOlapMemberO("[AM2MARKETDESCR].[].[ESTONIA ]","","ESTONIA ","","000")</f>
        <v xml:space="preserve">ESTONIA </v>
      </c>
      <c r="E837" s="2" t="str">
        <f xml:space="preserve"> _xll.EPMOlapMemberO("[AM2PARENTCUSTGROUP].[].[Mondelez]","","Mondelez","","000")</f>
        <v>Mondelez</v>
      </c>
      <c r="F837" s="2" t="str">
        <f xml:space="preserve"> _xll.EPMOlapMemberO("[KEY_FIGURES].[].[AM2ACTUALSHIPMENTS]","","Shipments","","000")</f>
        <v>Shipments</v>
      </c>
      <c r="AK837" s="2">
        <v>180</v>
      </c>
      <c r="AQ837" s="2">
        <v>112.5</v>
      </c>
    </row>
    <row r="838" spans="1:51" x14ac:dyDescent="0.35">
      <c r="A838" s="2" t="str">
        <f xml:space="preserve"> _xll.EPMOlapMemberO("[LOCID].[].[Hamburg plant]","","Hamburg plant","","000")</f>
        <v>Hamburg plant</v>
      </c>
      <c r="B838" s="2" t="str">
        <f xml:space="preserve"> _xll.EPMOlapMemberO("[PRDID].[].[999-50654-0092]","","999-50654-0092","","000")</f>
        <v>999-50654-0092</v>
      </c>
      <c r="C838" s="2" t="str">
        <f xml:space="preserve"> _xll.EPMOlapMemberO("[BRAND].[].[ L&amp;M]",""," L&amp;M","","000")</f>
        <v xml:space="preserve"> L&amp;M</v>
      </c>
      <c r="D838" s="2" t="str">
        <f xml:space="preserve"> _xll.EPMOlapMemberO("[AM2MARKETDESCR].[].[MOLDOVA ]","","MOLDOVA ","","000")</f>
        <v xml:space="preserve">MOLDOVA </v>
      </c>
      <c r="E838" s="2" t="str">
        <f xml:space="preserve"> _xll.EPMOlapMemberO("[AM2PARENTCUSTGROUP].[].[__NULL]","","(None)","","000")</f>
        <v>(None)</v>
      </c>
      <c r="F838" s="2" t="str">
        <f xml:space="preserve"> _xll.EPMOlapMemberO("[KEY_FIGURES].[].[CONFIRMEDPRODUCTION]","","Production Order","","000")</f>
        <v>Production Order</v>
      </c>
      <c r="AT838" s="2">
        <v>84</v>
      </c>
    </row>
    <row r="839" spans="1:51" x14ac:dyDescent="0.35">
      <c r="A839" s="2" t="str">
        <f xml:space="preserve"> _xll.EPMOlapMemberO("[LOCID].[].[Hamburg plant]","","Hamburg plant","","000")</f>
        <v>Hamburg plant</v>
      </c>
      <c r="B839" s="2" t="str">
        <f xml:space="preserve"> _xll.EPMOlapMemberO("[PRDID].[].[999-50654-0092]","","999-50654-0092","","000")</f>
        <v>999-50654-0092</v>
      </c>
      <c r="C839" s="2" t="str">
        <f xml:space="preserve"> _xll.EPMOlapMemberO("[BRAND].[].[ L&amp;M]",""," L&amp;M","","000")</f>
        <v xml:space="preserve"> L&amp;M</v>
      </c>
      <c r="D839" s="2" t="str">
        <f xml:space="preserve"> _xll.EPMOlapMemberO("[AM2MARKETDESCR].[].[MOLDOVA ]","","MOLDOVA ","","000")</f>
        <v xml:space="preserve">MOLDOVA </v>
      </c>
      <c r="E839" s="2" t="str">
        <f xml:space="preserve"> _xll.EPMOlapMemberO("[AM2PARENTCUSTGROUP].[].[Mondelez]","","Mondelez","","000")</f>
        <v>Mondelez</v>
      </c>
      <c r="F839" s="2" t="str">
        <f xml:space="preserve"> _xll.EPMOlapMemberO("[KEY_FIGURES].[].[AM2ORDERINTAKE]","","Sales Order","","000")</f>
        <v>Sales Order</v>
      </c>
      <c r="AM839" s="2">
        <v>144</v>
      </c>
      <c r="AO839" s="2">
        <v>144</v>
      </c>
    </row>
    <row r="840" spans="1:51" x14ac:dyDescent="0.35">
      <c r="A840" s="2" t="str">
        <f xml:space="preserve"> _xll.EPMOlapMemberO("[LOCID].[].[Hamburg plant]","","Hamburg plant","","000")</f>
        <v>Hamburg plant</v>
      </c>
      <c r="B840" s="2" t="str">
        <f xml:space="preserve"> _xll.EPMOlapMemberO("[PRDID].[].[999-50654-0092]","","999-50654-0092","","000")</f>
        <v>999-50654-0092</v>
      </c>
      <c r="C840" s="2" t="str">
        <f xml:space="preserve"> _xll.EPMOlapMemberO("[BRAND].[].[ L&amp;M]",""," L&amp;M","","000")</f>
        <v xml:space="preserve"> L&amp;M</v>
      </c>
      <c r="D840" s="2" t="str">
        <f xml:space="preserve"> _xll.EPMOlapMemberO("[AM2MARKETDESCR].[].[MOLDOVA ]","","MOLDOVA ","","000")</f>
        <v xml:space="preserve">MOLDOVA </v>
      </c>
      <c r="E840" s="2" t="str">
        <f xml:space="preserve"> _xll.EPMOlapMemberO("[AM2PARENTCUSTGROUP].[].[Mondelez]","","Mondelez","","000")</f>
        <v>Mondelez</v>
      </c>
      <c r="F840" s="2" t="str">
        <f xml:space="preserve"> _xll.EPMOlapMemberO("[KEY_FIGURES].[].[AM2ACTUALSHIPMENTS]","","Shipments","","000")</f>
        <v>Shipments</v>
      </c>
      <c r="AM840" s="2">
        <v>144</v>
      </c>
      <c r="AO840" s="2">
        <v>144</v>
      </c>
    </row>
    <row r="841" spans="1:51" x14ac:dyDescent="0.35">
      <c r="A841" s="2" t="str">
        <f xml:space="preserve"> _xll.EPMOlapMemberO("[LOCID].[].[Hamburg plant]","","Hamburg plant","","000")</f>
        <v>Hamburg plant</v>
      </c>
      <c r="B841" s="2" t="str">
        <f xml:space="preserve"> _xll.EPMOlapMemberO("[PRDID].[].[999-50654-0093]","","999-50654-0093","","000")</f>
        <v>999-50654-0093</v>
      </c>
      <c r="C841" s="2" t="str">
        <f xml:space="preserve"> _xll.EPMOlapMemberO("[BRAND].[].[ L&amp;M]",""," L&amp;M","","000")</f>
        <v xml:space="preserve"> L&amp;M</v>
      </c>
      <c r="D841" s="2" t="str">
        <f xml:space="preserve"> _xll.EPMOlapMemberO("[AM2MARKETDESCR].[].[POLAND ]","","POLAND ","","000")</f>
        <v xml:space="preserve">POLAND </v>
      </c>
      <c r="E841" s="2" t="str">
        <f xml:space="preserve"> _xll.EPMOlapMemberO("[AM2PARENTCUSTGROUP].[].[__NULL]","","(None)","","000")</f>
        <v>(None)</v>
      </c>
      <c r="F841" s="2" t="str">
        <f xml:space="preserve"> _xll.EPMOlapMemberO("[KEY_FIGURES].[].[CONFIRMEDPRODUCTION]","","Production Order","","000")</f>
        <v>Production Order</v>
      </c>
      <c r="AR841" s="2">
        <v>1872</v>
      </c>
      <c r="AW841" s="2">
        <v>2016</v>
      </c>
    </row>
    <row r="842" spans="1:51" x14ac:dyDescent="0.35">
      <c r="A842" s="2" t="str">
        <f xml:space="preserve"> _xll.EPMOlapMemberO("[LOCID].[].[Hamburg plant]","","Hamburg plant","","000")</f>
        <v>Hamburg plant</v>
      </c>
      <c r="B842" s="2" t="str">
        <f xml:space="preserve"> _xll.EPMOlapMemberO("[PRDID].[].[999-50654-0093]","","999-50654-0093","","000")</f>
        <v>999-50654-0093</v>
      </c>
      <c r="C842" s="2" t="str">
        <f xml:space="preserve"> _xll.EPMOlapMemberO("[BRAND].[].[ L&amp;M]",""," L&amp;M","","000")</f>
        <v xml:space="preserve"> L&amp;M</v>
      </c>
      <c r="D842" s="2" t="str">
        <f xml:space="preserve"> _xll.EPMOlapMemberO("[AM2MARKETDESCR].[].[POLAND ]","","POLAND ","","000")</f>
        <v xml:space="preserve">POLAND </v>
      </c>
      <c r="E842" s="2" t="str">
        <f xml:space="preserve"> _xll.EPMOlapMemberO("[AM2PARENTCUSTGROUP].[].[Mondelez]","","Mondelez","","000")</f>
        <v>Mondelez</v>
      </c>
      <c r="F842" s="2" t="str">
        <f xml:space="preserve"> _xll.EPMOlapMemberO("[KEY_FIGURES].[].[AM2ORDERINTAKE]","","Sales Order","","000")</f>
        <v>Sales Order</v>
      </c>
      <c r="AK842" s="2">
        <v>1296</v>
      </c>
      <c r="AM842" s="2">
        <v>864</v>
      </c>
      <c r="AN842" s="2">
        <v>1008</v>
      </c>
      <c r="AP842" s="2">
        <v>1732.5</v>
      </c>
      <c r="AR842" s="2">
        <v>1872</v>
      </c>
    </row>
    <row r="843" spans="1:51" x14ac:dyDescent="0.35">
      <c r="A843" s="2" t="str">
        <f xml:space="preserve"> _xll.EPMOlapMemberO("[LOCID].[].[Hamburg plant]","","Hamburg plant","","000")</f>
        <v>Hamburg plant</v>
      </c>
      <c r="B843" s="2" t="str">
        <f xml:space="preserve"> _xll.EPMOlapMemberO("[PRDID].[].[999-50654-0093]","","999-50654-0093","","000")</f>
        <v>999-50654-0093</v>
      </c>
      <c r="C843" s="2" t="str">
        <f xml:space="preserve"> _xll.EPMOlapMemberO("[BRAND].[].[ L&amp;M]",""," L&amp;M","","000")</f>
        <v xml:space="preserve"> L&amp;M</v>
      </c>
      <c r="D843" s="2" t="str">
        <f xml:space="preserve"> _xll.EPMOlapMemberO("[AM2MARKETDESCR].[].[POLAND ]","","POLAND ","","000")</f>
        <v xml:space="preserve">POLAND </v>
      </c>
      <c r="E843" s="2" t="str">
        <f xml:space="preserve"> _xll.EPMOlapMemberO("[AM2PARENTCUSTGROUP].[].[Mondelez]","","Mondelez","","000")</f>
        <v>Mondelez</v>
      </c>
      <c r="F843" s="2" t="str">
        <f xml:space="preserve"> _xll.EPMOlapMemberO("[KEY_FIGURES].[].[AM2ACTUALSHIPMENTS]","","Shipments","","000")</f>
        <v>Shipments</v>
      </c>
      <c r="AK843" s="2">
        <v>1296</v>
      </c>
      <c r="AM843" s="2">
        <v>864</v>
      </c>
      <c r="AN843" s="2">
        <v>1008</v>
      </c>
      <c r="AP843" s="2">
        <v>1732.5</v>
      </c>
    </row>
    <row r="844" spans="1:51" x14ac:dyDescent="0.35">
      <c r="A844" s="2" t="str">
        <f xml:space="preserve"> _xll.EPMOlapMemberO("[LOCID].[].[Hamburg plant]","","Hamburg plant","","000")</f>
        <v>Hamburg plant</v>
      </c>
      <c r="B844" s="2" t="str">
        <f xml:space="preserve"> _xll.EPMOlapMemberO("[PRDID].[].[999-50654-0094]","","999-50654-0094","","000")</f>
        <v>999-50654-0094</v>
      </c>
      <c r="C844" s="2" t="str">
        <f xml:space="preserve"> _xll.EPMOlapMemberO("[BRAND].[].[ L&amp;M]",""," L&amp;M","","000")</f>
        <v xml:space="preserve"> L&amp;M</v>
      </c>
      <c r="D844" s="2" t="str">
        <f xml:space="preserve"> _xll.EPMOlapMemberO("[AM2MARKETDESCR].[].[POLAND ]","","POLAND ","","000")</f>
        <v xml:space="preserve">POLAND </v>
      </c>
      <c r="E844" s="2" t="str">
        <f xml:space="preserve"> _xll.EPMOlapMemberO("[AM2PARENTCUSTGROUP].[].[__NULL]","","(None)","","000")</f>
        <v>(None)</v>
      </c>
      <c r="F844" s="2" t="str">
        <f xml:space="preserve"> _xll.EPMOlapMemberO("[KEY_FIGURES].[].[CONFIRMEDPRODUCTION]","","Production Order","","000")</f>
        <v>Production Order</v>
      </c>
      <c r="AQ844" s="2">
        <v>804</v>
      </c>
      <c r="AR844" s="2">
        <v>3600</v>
      </c>
      <c r="AS844" s="2">
        <v>6624</v>
      </c>
      <c r="AU844" s="2">
        <v>4896</v>
      </c>
      <c r="AW844" s="2">
        <v>5472</v>
      </c>
      <c r="AY844" s="2">
        <v>4752</v>
      </c>
    </row>
    <row r="845" spans="1:51" x14ac:dyDescent="0.35">
      <c r="A845" s="2" t="str">
        <f xml:space="preserve"> _xll.EPMOlapMemberO("[LOCID].[].[Hamburg plant]","","Hamburg plant","","000")</f>
        <v>Hamburg plant</v>
      </c>
      <c r="B845" s="2" t="str">
        <f xml:space="preserve"> _xll.EPMOlapMemberO("[PRDID].[].[999-50654-0094]","","999-50654-0094","","000")</f>
        <v>999-50654-0094</v>
      </c>
      <c r="C845" s="2" t="str">
        <f xml:space="preserve"> _xll.EPMOlapMemberO("[BRAND].[].[ L&amp;M]",""," L&amp;M","","000")</f>
        <v xml:space="preserve"> L&amp;M</v>
      </c>
      <c r="D845" s="2" t="str">
        <f xml:space="preserve"> _xll.EPMOlapMemberO("[AM2MARKETDESCR].[].[POLAND ]","","POLAND ","","000")</f>
        <v xml:space="preserve">POLAND </v>
      </c>
      <c r="E845" s="2" t="str">
        <f xml:space="preserve"> _xll.EPMOlapMemberO("[AM2PARENTCUSTGROUP].[].[Mondelez]","","Mondelez","","000")</f>
        <v>Mondelez</v>
      </c>
      <c r="F845" s="2" t="str">
        <f xml:space="preserve"> _xll.EPMOlapMemberO("[KEY_FIGURES].[].[AM2ORDERINTAKE]","","Sales Order","","000")</f>
        <v>Sales Order</v>
      </c>
      <c r="AK845" s="2">
        <v>3840</v>
      </c>
      <c r="AM845" s="2">
        <v>5184</v>
      </c>
      <c r="AN845" s="2">
        <v>4896</v>
      </c>
      <c r="AO845" s="2">
        <v>3456</v>
      </c>
      <c r="AQ845" s="2">
        <v>4320</v>
      </c>
      <c r="AR845" s="2">
        <v>4404</v>
      </c>
    </row>
    <row r="846" spans="1:51" x14ac:dyDescent="0.35">
      <c r="A846" s="2" t="str">
        <f xml:space="preserve"> _xll.EPMOlapMemberO("[LOCID].[].[Hamburg plant]","","Hamburg plant","","000")</f>
        <v>Hamburg plant</v>
      </c>
      <c r="B846" s="2" t="str">
        <f xml:space="preserve"> _xll.EPMOlapMemberO("[PRDID].[].[999-50654-0094]","","999-50654-0094","","000")</f>
        <v>999-50654-0094</v>
      </c>
      <c r="C846" s="2" t="str">
        <f xml:space="preserve"> _xll.EPMOlapMemberO("[BRAND].[].[ L&amp;M]",""," L&amp;M","","000")</f>
        <v xml:space="preserve"> L&amp;M</v>
      </c>
      <c r="D846" s="2" t="str">
        <f xml:space="preserve"> _xll.EPMOlapMemberO("[AM2MARKETDESCR].[].[POLAND ]","","POLAND ","","000")</f>
        <v xml:space="preserve">POLAND </v>
      </c>
      <c r="E846" s="2" t="str">
        <f xml:space="preserve"> _xll.EPMOlapMemberO("[AM2PARENTCUSTGROUP].[].[Mondelez]","","Mondelez","","000")</f>
        <v>Mondelez</v>
      </c>
      <c r="F846" s="2" t="str">
        <f xml:space="preserve"> _xll.EPMOlapMemberO("[KEY_FIGURES].[].[AM2ACTUALSHIPMENTS]","","Shipments","","000")</f>
        <v>Shipments</v>
      </c>
      <c r="AK846" s="2">
        <v>3840</v>
      </c>
      <c r="AM846" s="2">
        <v>5172</v>
      </c>
      <c r="AN846" s="2">
        <v>4896</v>
      </c>
      <c r="AO846" s="2">
        <v>3456</v>
      </c>
      <c r="AQ846" s="2">
        <v>4320</v>
      </c>
    </row>
    <row r="847" spans="1:51" x14ac:dyDescent="0.35">
      <c r="A847" s="2" t="str">
        <f xml:space="preserve"> _xll.EPMOlapMemberO("[LOCID].[].[Hamburg plant]","","Hamburg plant","","000")</f>
        <v>Hamburg plant</v>
      </c>
      <c r="B847" s="2" t="str">
        <f xml:space="preserve"> _xll.EPMOlapMemberO("[PRDID].[].[999-50654-0095]","","999-50654-0095","","000")</f>
        <v>999-50654-0095</v>
      </c>
      <c r="C847" s="2" t="str">
        <f xml:space="preserve"> _xll.EPMOlapMemberO("[BRAND].[].[ L&amp;M]",""," L&amp;M","","000")</f>
        <v xml:space="preserve"> L&amp;M</v>
      </c>
      <c r="D847" s="2" t="str">
        <f xml:space="preserve"> _xll.EPMOlapMemberO("[AM2MARKETDESCR].[].[SLOVAK REPUBLIC ]","","SLOVAK REPUBLIC ","","000")</f>
        <v xml:space="preserve">SLOVAK REPUBLIC </v>
      </c>
      <c r="E847" s="2" t="str">
        <f xml:space="preserve"> _xll.EPMOlapMemberO("[AM2PARENTCUSTGROUP].[].[__NULL]","","(None)","","000")</f>
        <v>(None)</v>
      </c>
      <c r="F847" s="2" t="str">
        <f xml:space="preserve"> _xll.EPMOlapMemberO("[KEY_FIGURES].[].[INITIALINVENTORY]","","Stock","","000")</f>
        <v>Stock</v>
      </c>
      <c r="AQ847" s="2">
        <v>2553.75</v>
      </c>
    </row>
    <row r="848" spans="1:51" x14ac:dyDescent="0.35">
      <c r="A848" s="2" t="str">
        <f xml:space="preserve"> _xll.EPMOlapMemberO("[LOCID].[].[Hamburg plant]","","Hamburg plant","","000")</f>
        <v>Hamburg plant</v>
      </c>
      <c r="B848" s="2" t="str">
        <f xml:space="preserve"> _xll.EPMOlapMemberO("[PRDID].[].[999-50654-0095]","","999-50654-0095","","000")</f>
        <v>999-50654-0095</v>
      </c>
      <c r="C848" s="2" t="str">
        <f xml:space="preserve"> _xll.EPMOlapMemberO("[BRAND].[].[ L&amp;M]",""," L&amp;M","","000")</f>
        <v xml:space="preserve"> L&amp;M</v>
      </c>
      <c r="D848" s="2" t="str">
        <f xml:space="preserve"> _xll.EPMOlapMemberO("[AM2MARKETDESCR].[].[SLOVAK REPUBLIC ]","","SLOVAK REPUBLIC ","","000")</f>
        <v xml:space="preserve">SLOVAK REPUBLIC </v>
      </c>
      <c r="E848" s="2" t="str">
        <f xml:space="preserve"> _xll.EPMOlapMemberO("[AM2PARENTCUSTGROUP].[].[__NULL]","","(None)","","000")</f>
        <v>(None)</v>
      </c>
      <c r="F848" s="2" t="str">
        <f xml:space="preserve"> _xll.EPMOlapMemberO("[KEY_FIGURES].[].[CONFIRMEDPRODUCTION]","","Production Order","","000")</f>
        <v>Production Order</v>
      </c>
      <c r="AW848" s="2">
        <v>3746.25</v>
      </c>
    </row>
    <row r="849" spans="1:50" x14ac:dyDescent="0.35">
      <c r="A849" s="2" t="str">
        <f xml:space="preserve"> _xll.EPMOlapMemberO("[LOCID].[].[Hamburg plant]","","Hamburg plant","","000")</f>
        <v>Hamburg plant</v>
      </c>
      <c r="B849" s="2" t="str">
        <f xml:space="preserve"> _xll.EPMOlapMemberO("[PRDID].[].[999-50654-0095]","","999-50654-0095","","000")</f>
        <v>999-50654-0095</v>
      </c>
      <c r="C849" s="2" t="str">
        <f xml:space="preserve"> _xll.EPMOlapMemberO("[BRAND].[].[ L&amp;M]",""," L&amp;M","","000")</f>
        <v xml:space="preserve"> L&amp;M</v>
      </c>
      <c r="D849" s="2" t="str">
        <f xml:space="preserve"> _xll.EPMOlapMemberO("[AM2MARKETDESCR].[].[SLOVAK REPUBLIC ]","","SLOVAK REPUBLIC ","","000")</f>
        <v xml:space="preserve">SLOVAK REPUBLIC </v>
      </c>
      <c r="E849" s="2" t="str">
        <f xml:space="preserve"> _xll.EPMOlapMemberO("[AM2PARENTCUSTGROUP].[].[Mondelez]","","Mondelez","","000")</f>
        <v>Mondelez</v>
      </c>
      <c r="F849" s="2" t="str">
        <f xml:space="preserve"> _xll.EPMOlapMemberO("[KEY_FIGURES].[].[AM2ORDERINTAKE]","","Sales Order","","000")</f>
        <v>Sales Order</v>
      </c>
      <c r="AM849" s="2">
        <v>2304</v>
      </c>
      <c r="AR849" s="2">
        <v>2553.75</v>
      </c>
    </row>
    <row r="850" spans="1:50" x14ac:dyDescent="0.35">
      <c r="A850" s="2" t="str">
        <f xml:space="preserve"> _xll.EPMOlapMemberO("[LOCID].[].[Hamburg plant]","","Hamburg plant","","000")</f>
        <v>Hamburg plant</v>
      </c>
      <c r="B850" s="2" t="str">
        <f xml:space="preserve"> _xll.EPMOlapMemberO("[PRDID].[].[999-50654-0095]","","999-50654-0095","","000")</f>
        <v>999-50654-0095</v>
      </c>
      <c r="C850" s="2" t="str">
        <f xml:space="preserve"> _xll.EPMOlapMemberO("[BRAND].[].[ L&amp;M]",""," L&amp;M","","000")</f>
        <v xml:space="preserve"> L&amp;M</v>
      </c>
      <c r="D850" s="2" t="str">
        <f xml:space="preserve"> _xll.EPMOlapMemberO("[AM2MARKETDESCR].[].[SLOVAK REPUBLIC ]","","SLOVAK REPUBLIC ","","000")</f>
        <v xml:space="preserve">SLOVAK REPUBLIC </v>
      </c>
      <c r="E850" s="2" t="str">
        <f xml:space="preserve"> _xll.EPMOlapMemberO("[AM2PARENTCUSTGROUP].[].[Mondelez]","","Mondelez","","000")</f>
        <v>Mondelez</v>
      </c>
      <c r="F850" s="2" t="str">
        <f xml:space="preserve"> _xll.EPMOlapMemberO("[KEY_FIGURES].[].[AM2ACTUALSHIPMENTS]","","Shipments","","000")</f>
        <v>Shipments</v>
      </c>
      <c r="AM850" s="2">
        <v>2304</v>
      </c>
    </row>
    <row r="851" spans="1:50" x14ac:dyDescent="0.35">
      <c r="A851" s="2" t="str">
        <f xml:space="preserve"> _xll.EPMOlapMemberO("[LOCID].[].[Hamburg plant]","","Hamburg plant","","000")</f>
        <v>Hamburg plant</v>
      </c>
      <c r="B851" s="2" t="str">
        <f xml:space="preserve"> _xll.EPMOlapMemberO("[PRDID].[].[999-50654-0096]","","999-50654-0096","","000")</f>
        <v>999-50654-0096</v>
      </c>
      <c r="C851" s="2" t="str">
        <f xml:space="preserve"> _xll.EPMOlapMemberO("[BRAND].[].[ L&amp;M]",""," L&amp;M","","000")</f>
        <v xml:space="preserve"> L&amp;M</v>
      </c>
      <c r="D851" s="2" t="str">
        <f xml:space="preserve"> _xll.EPMOlapMemberO("[AM2MARKETDESCR].[].[MOLDOVA ]","","MOLDOVA ","","000")</f>
        <v xml:space="preserve">MOLDOVA </v>
      </c>
      <c r="E851" s="2" t="str">
        <f xml:space="preserve"> _xll.EPMOlapMemberO("[AM2PARENTCUSTGROUP].[].[__NULL]","","(None)","","000")</f>
        <v>(None)</v>
      </c>
      <c r="F851" s="2" t="str">
        <f xml:space="preserve"> _xll.EPMOlapMemberO("[KEY_FIGURES].[].[CONFIRMEDPRODUCTION]","","Production Order","","000")</f>
        <v>Production Order</v>
      </c>
      <c r="AX851" s="2">
        <v>228</v>
      </c>
    </row>
    <row r="852" spans="1:50" x14ac:dyDescent="0.35">
      <c r="A852" s="2" t="str">
        <f xml:space="preserve"> _xll.EPMOlapMemberO("[LOCID].[].[Hamburg plant]","","Hamburg plant","","000")</f>
        <v>Hamburg plant</v>
      </c>
      <c r="B852" s="2" t="str">
        <f xml:space="preserve"> _xll.EPMOlapMemberO("[PRDID].[].[999-50654-0096]","","999-50654-0096","","000")</f>
        <v>999-50654-0096</v>
      </c>
      <c r="C852" s="2" t="str">
        <f xml:space="preserve"> _xll.EPMOlapMemberO("[BRAND].[].[ L&amp;M]",""," L&amp;M","","000")</f>
        <v xml:space="preserve"> L&amp;M</v>
      </c>
      <c r="D852" s="2" t="str">
        <f xml:space="preserve"> _xll.EPMOlapMemberO("[AM2MARKETDESCR].[].[MOLDOVA ]","","MOLDOVA ","","000")</f>
        <v xml:space="preserve">MOLDOVA </v>
      </c>
      <c r="E852" s="2" t="str">
        <f xml:space="preserve"> _xll.EPMOlapMemberO("[AM2PARENTCUSTGROUP].[].[Mondelez]","","Mondelez","","000")</f>
        <v>Mondelez</v>
      </c>
      <c r="F852" s="2" t="str">
        <f xml:space="preserve"> _xll.EPMOlapMemberO("[KEY_FIGURES].[].[AM2ORDERINTAKE]","","Sales Order","","000")</f>
        <v>Sales Order</v>
      </c>
      <c r="AM852" s="2">
        <v>288</v>
      </c>
      <c r="AP852" s="2">
        <v>288</v>
      </c>
    </row>
    <row r="853" spans="1:50" x14ac:dyDescent="0.35">
      <c r="A853" s="2" t="str">
        <f xml:space="preserve"> _xll.EPMOlapMemberO("[LOCID].[].[Hamburg plant]","","Hamburg plant","","000")</f>
        <v>Hamburg plant</v>
      </c>
      <c r="B853" s="2" t="str">
        <f xml:space="preserve"> _xll.EPMOlapMemberO("[PRDID].[].[999-50654-0096]","","999-50654-0096","","000")</f>
        <v>999-50654-0096</v>
      </c>
      <c r="C853" s="2" t="str">
        <f xml:space="preserve"> _xll.EPMOlapMemberO("[BRAND].[].[ L&amp;M]",""," L&amp;M","","000")</f>
        <v xml:space="preserve"> L&amp;M</v>
      </c>
      <c r="D853" s="2" t="str">
        <f xml:space="preserve"> _xll.EPMOlapMemberO("[AM2MARKETDESCR].[].[MOLDOVA ]","","MOLDOVA ","","000")</f>
        <v xml:space="preserve">MOLDOVA </v>
      </c>
      <c r="E853" s="2" t="str">
        <f xml:space="preserve"> _xll.EPMOlapMemberO("[AM2PARENTCUSTGROUP].[].[Mondelez]","","Mondelez","","000")</f>
        <v>Mondelez</v>
      </c>
      <c r="F853" s="2" t="str">
        <f xml:space="preserve"> _xll.EPMOlapMemberO("[KEY_FIGURES].[].[AM2ACTUALSHIPMENTS]","","Shipments","","000")</f>
        <v>Shipments</v>
      </c>
      <c r="AM853" s="2">
        <v>288</v>
      </c>
      <c r="AP853" s="2">
        <v>288</v>
      </c>
    </row>
    <row r="854" spans="1:50" x14ac:dyDescent="0.35">
      <c r="A854" s="2" t="str">
        <f xml:space="preserve"> _xll.EPMOlapMemberO("[LOCID].[].[Hamburg plant]","","Hamburg plant","","000")</f>
        <v>Hamburg plant</v>
      </c>
      <c r="B854" s="2" t="str">
        <f xml:space="preserve"> _xll.EPMOlapMemberO("[PRDID].[].[999-50654-0097]","","999-50654-0097","","000")</f>
        <v>999-50654-0097</v>
      </c>
      <c r="C854" s="2" t="str">
        <f xml:space="preserve"> _xll.EPMOlapMemberO("[BRAND].[].[ L&amp;M]",""," L&amp;M","","000")</f>
        <v xml:space="preserve"> L&amp;M</v>
      </c>
      <c r="D854" s="2" t="str">
        <f xml:space="preserve"> _xll.EPMOlapMemberO("[AM2MARKETDESCR].[].[CZECH REPUBLIC ESTIC]","","CZECH REPUBLIC ESTIC","","000")</f>
        <v>CZECH REPUBLIC ESTIC</v>
      </c>
      <c r="E854" s="2" t="str">
        <f xml:space="preserve"> _xll.EPMOlapMemberO("[AM2PARENTCUSTGROUP].[].[Mondelez]","","Mondelez","","000")</f>
        <v>Mondelez</v>
      </c>
      <c r="F854" s="2" t="str">
        <f xml:space="preserve"> _xll.EPMOlapMemberO("[KEY_FIGURES].[].[AM2ORDERINTAKE]","","Sales Order","","000")</f>
        <v>Sales Order</v>
      </c>
      <c r="AL854" s="2">
        <v>686.25</v>
      </c>
    </row>
    <row r="855" spans="1:50" x14ac:dyDescent="0.35">
      <c r="A855" s="2" t="str">
        <f xml:space="preserve"> _xll.EPMOlapMemberO("[LOCID].[].[Hamburg plant]","","Hamburg plant","","000")</f>
        <v>Hamburg plant</v>
      </c>
      <c r="B855" s="2" t="str">
        <f xml:space="preserve"> _xll.EPMOlapMemberO("[PRDID].[].[999-50654-0097]","","999-50654-0097","","000")</f>
        <v>999-50654-0097</v>
      </c>
      <c r="C855" s="2" t="str">
        <f xml:space="preserve"> _xll.EPMOlapMemberO("[BRAND].[].[ L&amp;M]",""," L&amp;M","","000")</f>
        <v xml:space="preserve"> L&amp;M</v>
      </c>
      <c r="D855" s="2" t="str">
        <f xml:space="preserve"> _xll.EPMOlapMemberO("[AM2MARKETDESCR].[].[CZECH REPUBLIC ESTIC]","","CZECH REPUBLIC ESTIC","","000")</f>
        <v>CZECH REPUBLIC ESTIC</v>
      </c>
      <c r="E855" s="2" t="str">
        <f xml:space="preserve"> _xll.EPMOlapMemberO("[AM2PARENTCUSTGROUP].[].[Mondelez]","","Mondelez","","000")</f>
        <v>Mondelez</v>
      </c>
      <c r="F855" s="2" t="str">
        <f xml:space="preserve"> _xll.EPMOlapMemberO("[KEY_FIGURES].[].[AM2ACTUALSHIPMENTS]","","Shipments","","000")</f>
        <v>Shipments</v>
      </c>
      <c r="AL855" s="2">
        <v>686.25</v>
      </c>
    </row>
    <row r="856" spans="1:50" x14ac:dyDescent="0.35">
      <c r="A856" s="2" t="str">
        <f xml:space="preserve"> _xll.EPMOlapMemberO("[LOCID].[].[Hamburg plant]","","Hamburg plant","","000")</f>
        <v>Hamburg plant</v>
      </c>
      <c r="B856" s="2" t="str">
        <f xml:space="preserve"> _xll.EPMOlapMemberO("[PRDID].[].[999-50654-0098]","","999-50654-0098","","000")</f>
        <v>999-50654-0098</v>
      </c>
      <c r="C856" s="2" t="str">
        <f xml:space="preserve"> _xll.EPMOlapMemberO("[BRAND].[].[ L&amp;M]",""," L&amp;M","","000")</f>
        <v xml:space="preserve"> L&amp;M</v>
      </c>
      <c r="D856" s="2" t="str">
        <f xml:space="preserve"> _xll.EPMOlapMemberO("[AM2MARKETDESCR].[].[CZECH REPUBLIC ESTIC]","","CZECH REPUBLIC ESTIC","","000")</f>
        <v>CZECH REPUBLIC ESTIC</v>
      </c>
      <c r="E856" s="2" t="str">
        <f xml:space="preserve"> _xll.EPMOlapMemberO("[AM2PARENTCUSTGROUP].[].[Mondelez]","","Mondelez","","000")</f>
        <v>Mondelez</v>
      </c>
      <c r="F856" s="2" t="str">
        <f xml:space="preserve"> _xll.EPMOlapMemberO("[KEY_FIGURES].[].[AM2ORDERINTAKE]","","Sales Order","","000")</f>
        <v>Sales Order</v>
      </c>
      <c r="AL856" s="2">
        <v>630</v>
      </c>
    </row>
    <row r="857" spans="1:50" x14ac:dyDescent="0.35">
      <c r="A857" s="2" t="str">
        <f xml:space="preserve"> _xll.EPMOlapMemberO("[LOCID].[].[Hamburg plant]","","Hamburg plant","","000")</f>
        <v>Hamburg plant</v>
      </c>
      <c r="B857" s="2" t="str">
        <f xml:space="preserve"> _xll.EPMOlapMemberO("[PRDID].[].[999-50654-0098]","","999-50654-0098","","000")</f>
        <v>999-50654-0098</v>
      </c>
      <c r="C857" s="2" t="str">
        <f xml:space="preserve"> _xll.EPMOlapMemberO("[BRAND].[].[ L&amp;M]",""," L&amp;M","","000")</f>
        <v xml:space="preserve"> L&amp;M</v>
      </c>
      <c r="D857" s="2" t="str">
        <f xml:space="preserve"> _xll.EPMOlapMemberO("[AM2MARKETDESCR].[].[CZECH REPUBLIC ESTIC]","","CZECH REPUBLIC ESTIC","","000")</f>
        <v>CZECH REPUBLIC ESTIC</v>
      </c>
      <c r="E857" s="2" t="str">
        <f xml:space="preserve"> _xll.EPMOlapMemberO("[AM2PARENTCUSTGROUP].[].[Mondelez]","","Mondelez","","000")</f>
        <v>Mondelez</v>
      </c>
      <c r="F857" s="2" t="str">
        <f xml:space="preserve"> _xll.EPMOlapMemberO("[KEY_FIGURES].[].[AM2ACTUALSHIPMENTS]","","Shipments","","000")</f>
        <v>Shipments</v>
      </c>
      <c r="AL857" s="2">
        <v>630</v>
      </c>
    </row>
    <row r="858" spans="1:50" x14ac:dyDescent="0.35">
      <c r="A858" s="2" t="str">
        <f xml:space="preserve"> _xll.EPMOlapMemberO("[LOCID].[].[Hamburg plant]","","Hamburg plant","","000")</f>
        <v>Hamburg plant</v>
      </c>
      <c r="B858" s="2" t="str">
        <f xml:space="preserve"> _xll.EPMOlapMemberO("[PRDID].[].[999-50654-0100]","","999-50654-0100","","000")</f>
        <v>999-50654-0100</v>
      </c>
      <c r="C858" s="2" t="str">
        <f xml:space="preserve"> _xll.EPMOlapMemberO("[BRAND].[].[ L&amp;M]",""," L&amp;M","","000")</f>
        <v xml:space="preserve"> L&amp;M</v>
      </c>
      <c r="D858" s="2" t="str">
        <f xml:space="preserve"> _xll.EPMOlapMemberO("[AM2MARKETDESCR].[].[SLOVAK REPUBLIC ]","","SLOVAK REPUBLIC ","","000")</f>
        <v xml:space="preserve">SLOVAK REPUBLIC </v>
      </c>
      <c r="E858" s="2" t="str">
        <f xml:space="preserve"> _xll.EPMOlapMemberO("[AM2PARENTCUSTGROUP].[].[Mondelez]","","Mondelez","","000")</f>
        <v>Mondelez</v>
      </c>
      <c r="F858" s="2" t="str">
        <f xml:space="preserve"> _xll.EPMOlapMemberO("[KEY_FIGURES].[].[AM2ORDERINTAKE]","","Sales Order","","000")</f>
        <v>Sales Order</v>
      </c>
      <c r="AN858" s="2">
        <v>1548</v>
      </c>
    </row>
    <row r="859" spans="1:50" x14ac:dyDescent="0.35">
      <c r="A859" s="2" t="str">
        <f xml:space="preserve"> _xll.EPMOlapMemberO("[LOCID].[].[Hamburg plant]","","Hamburg plant","","000")</f>
        <v>Hamburg plant</v>
      </c>
      <c r="B859" s="2" t="str">
        <f xml:space="preserve"> _xll.EPMOlapMemberO("[PRDID].[].[999-50654-0100]","","999-50654-0100","","000")</f>
        <v>999-50654-0100</v>
      </c>
      <c r="C859" s="2" t="str">
        <f xml:space="preserve"> _xll.EPMOlapMemberO("[BRAND].[].[ L&amp;M]",""," L&amp;M","","000")</f>
        <v xml:space="preserve"> L&amp;M</v>
      </c>
      <c r="D859" s="2" t="str">
        <f xml:space="preserve"> _xll.EPMOlapMemberO("[AM2MARKETDESCR].[].[SLOVAK REPUBLIC ]","","SLOVAK REPUBLIC ","","000")</f>
        <v xml:space="preserve">SLOVAK REPUBLIC </v>
      </c>
      <c r="E859" s="2" t="str">
        <f xml:space="preserve"> _xll.EPMOlapMemberO("[AM2PARENTCUSTGROUP].[].[Mondelez]","","Mondelez","","000")</f>
        <v>Mondelez</v>
      </c>
      <c r="F859" s="2" t="str">
        <f xml:space="preserve"> _xll.EPMOlapMemberO("[KEY_FIGURES].[].[AM2ACTUALSHIPMENTS]","","Shipments","","000")</f>
        <v>Shipments</v>
      </c>
      <c r="AN859" s="2">
        <v>1548</v>
      </c>
    </row>
    <row r="860" spans="1:50" x14ac:dyDescent="0.35">
      <c r="A860" s="2" t="str">
        <f xml:space="preserve"> _xll.EPMOlapMemberO("[LOCID].[].[Hamburg plant]","","Hamburg plant","","000")</f>
        <v>Hamburg plant</v>
      </c>
      <c r="B860" s="2" t="str">
        <f xml:space="preserve"> _xll.EPMOlapMemberO("[PRDID].[].[999-50654-0101]","","999-50654-0101","","000")</f>
        <v>999-50654-0101</v>
      </c>
      <c r="C860" s="2" t="str">
        <f xml:space="preserve"> _xll.EPMOlapMemberO("[BRAND].[].[ L&amp;M]",""," L&amp;M","","000")</f>
        <v xml:space="preserve"> L&amp;M</v>
      </c>
      <c r="D860" s="2" t="str">
        <f xml:space="preserve"> _xll.EPMOlapMemberO("[AM2MARKETDESCR].[].[SLOVAK REPUBLIC ]","","SLOVAK REPUBLIC ","","000")</f>
        <v xml:space="preserve">SLOVAK REPUBLIC </v>
      </c>
      <c r="E860" s="2" t="str">
        <f xml:space="preserve"> _xll.EPMOlapMemberO("[AM2PARENTCUSTGROUP].[].[Mondelez]","","Mondelez","","000")</f>
        <v>Mondelez</v>
      </c>
      <c r="F860" s="2" t="str">
        <f xml:space="preserve"> _xll.EPMOlapMemberO("[KEY_FIGURES].[].[AM2ORDERINTAKE]","","Sales Order","","000")</f>
        <v>Sales Order</v>
      </c>
      <c r="AN860" s="2">
        <v>1008</v>
      </c>
    </row>
    <row r="861" spans="1:50" x14ac:dyDescent="0.35">
      <c r="A861" s="2" t="str">
        <f xml:space="preserve"> _xll.EPMOlapMemberO("[LOCID].[].[Hamburg plant]","","Hamburg plant","","000")</f>
        <v>Hamburg plant</v>
      </c>
      <c r="B861" s="2" t="str">
        <f xml:space="preserve"> _xll.EPMOlapMemberO("[PRDID].[].[999-50654-0101]","","999-50654-0101","","000")</f>
        <v>999-50654-0101</v>
      </c>
      <c r="C861" s="2" t="str">
        <f xml:space="preserve"> _xll.EPMOlapMemberO("[BRAND].[].[ L&amp;M]",""," L&amp;M","","000")</f>
        <v xml:space="preserve"> L&amp;M</v>
      </c>
      <c r="D861" s="2" t="str">
        <f xml:space="preserve"> _xll.EPMOlapMemberO("[AM2MARKETDESCR].[].[SLOVAK REPUBLIC ]","","SLOVAK REPUBLIC ","","000")</f>
        <v xml:space="preserve">SLOVAK REPUBLIC </v>
      </c>
      <c r="E861" s="2" t="str">
        <f xml:space="preserve"> _xll.EPMOlapMemberO("[AM2PARENTCUSTGROUP].[].[Mondelez]","","Mondelez","","000")</f>
        <v>Mondelez</v>
      </c>
      <c r="F861" s="2" t="str">
        <f xml:space="preserve"> _xll.EPMOlapMemberO("[KEY_FIGURES].[].[AM2ACTUALSHIPMENTS]","","Shipments","","000")</f>
        <v>Shipments</v>
      </c>
      <c r="AN861" s="2">
        <v>984</v>
      </c>
    </row>
    <row r="862" spans="1:50" x14ac:dyDescent="0.35">
      <c r="A862" s="2" t="str">
        <f xml:space="preserve"> _xll.EPMOlapMemberO("[LOCID].[].[Hamburg plant]","","Hamburg plant","","000")</f>
        <v>Hamburg plant</v>
      </c>
      <c r="B862" s="2" t="str">
        <f xml:space="preserve"> _xll.EPMOlapMemberO("[PRDID].[].[999-50654-0102]","","999-50654-0102","","000")</f>
        <v>999-50654-0102</v>
      </c>
      <c r="C862" s="2" t="str">
        <f xml:space="preserve"> _xll.EPMOlapMemberO("[BRAND].[].[ L&amp;M]",""," L&amp;M","","000")</f>
        <v xml:space="preserve"> L&amp;M</v>
      </c>
      <c r="D862" s="2" t="str">
        <f xml:space="preserve"> _xll.EPMOlapMemberO("[AM2MARKETDESCR].[].[SLOVAK REPUBLIC ]","","SLOVAK REPUBLIC ","","000")</f>
        <v xml:space="preserve">SLOVAK REPUBLIC </v>
      </c>
      <c r="E862" s="2" t="str">
        <f xml:space="preserve"> _xll.EPMOlapMemberO("[AM2PARENTCUSTGROUP].[].[Mondelez]","","Mondelez","","000")</f>
        <v>Mondelez</v>
      </c>
      <c r="F862" s="2" t="str">
        <f xml:space="preserve"> _xll.EPMOlapMemberO("[KEY_FIGURES].[].[AM2ORDERINTAKE]","","Sales Order","","000")</f>
        <v>Sales Order</v>
      </c>
      <c r="AN862" s="2">
        <v>348</v>
      </c>
    </row>
    <row r="863" spans="1:50" x14ac:dyDescent="0.35">
      <c r="A863" s="2" t="str">
        <f xml:space="preserve"> _xll.EPMOlapMemberO("[LOCID].[].[Hamburg plant]","","Hamburg plant","","000")</f>
        <v>Hamburg plant</v>
      </c>
      <c r="B863" s="2" t="str">
        <f xml:space="preserve"> _xll.EPMOlapMemberO("[PRDID].[].[999-50654-0102]","","999-50654-0102","","000")</f>
        <v>999-50654-0102</v>
      </c>
      <c r="C863" s="2" t="str">
        <f xml:space="preserve"> _xll.EPMOlapMemberO("[BRAND].[].[ L&amp;M]",""," L&amp;M","","000")</f>
        <v xml:space="preserve"> L&amp;M</v>
      </c>
      <c r="D863" s="2" t="str">
        <f xml:space="preserve"> _xll.EPMOlapMemberO("[AM2MARKETDESCR].[].[SLOVAK REPUBLIC ]","","SLOVAK REPUBLIC ","","000")</f>
        <v xml:space="preserve">SLOVAK REPUBLIC </v>
      </c>
      <c r="E863" s="2" t="str">
        <f xml:space="preserve"> _xll.EPMOlapMemberO("[AM2PARENTCUSTGROUP].[].[Mondelez]","","Mondelez","","000")</f>
        <v>Mondelez</v>
      </c>
      <c r="F863" s="2" t="str">
        <f xml:space="preserve"> _xll.EPMOlapMemberO("[KEY_FIGURES].[].[AM2ACTUALSHIPMENTS]","","Shipments","","000")</f>
        <v>Shipments</v>
      </c>
      <c r="AN863" s="2">
        <v>348</v>
      </c>
    </row>
    <row r="864" spans="1:50" x14ac:dyDescent="0.35">
      <c r="A864" s="2" t="str">
        <f xml:space="preserve"> _xll.EPMOlapMemberO("[LOCID].[].[Hamburg plant]","","Hamburg plant","","000")</f>
        <v>Hamburg plant</v>
      </c>
      <c r="B864" s="2" t="str">
        <f xml:space="preserve"> _xll.EPMOlapMemberO("[PRDID].[].[999-50654-0103]","","999-50654-0103","","000")</f>
        <v>999-50654-0103</v>
      </c>
      <c r="C864" s="2" t="str">
        <f xml:space="preserve"> _xll.EPMOlapMemberO("[BRAND].[].[ L&amp;M]",""," L&amp;M","","000")</f>
        <v xml:space="preserve"> L&amp;M</v>
      </c>
      <c r="D864" s="2" t="str">
        <f xml:space="preserve"> _xll.EPMOlapMemberO("[AM2MARKETDESCR].[].[CZECH REPUBLIC ESTIC]","","CZECH REPUBLIC ESTIC","","000")</f>
        <v>CZECH REPUBLIC ESTIC</v>
      </c>
      <c r="E864" s="2" t="str">
        <f xml:space="preserve"> _xll.EPMOlapMemberO("[AM2PARENTCUSTGROUP].[].[__NULL]","","(None)","","000")</f>
        <v>(None)</v>
      </c>
      <c r="F864" s="2" t="str">
        <f xml:space="preserve"> _xll.EPMOlapMemberO("[KEY_FIGURES].[].[CONFIRMEDPRODUCTION]","","Production Order","","000")</f>
        <v>Production Order</v>
      </c>
      <c r="AR864" s="2">
        <v>596.25</v>
      </c>
      <c r="AX864" s="2">
        <v>540</v>
      </c>
    </row>
    <row r="865" spans="1:50" x14ac:dyDescent="0.35">
      <c r="A865" s="2" t="str">
        <f xml:space="preserve"> _xll.EPMOlapMemberO("[LOCID].[].[Hamburg plant]","","Hamburg plant","","000")</f>
        <v>Hamburg plant</v>
      </c>
      <c r="B865" s="2" t="str">
        <f xml:space="preserve"> _xll.EPMOlapMemberO("[PRDID].[].[999-50654-0103]","","999-50654-0103","","000")</f>
        <v>999-50654-0103</v>
      </c>
      <c r="C865" s="2" t="str">
        <f xml:space="preserve"> _xll.EPMOlapMemberO("[BRAND].[].[ L&amp;M]",""," L&amp;M","","000")</f>
        <v xml:space="preserve"> L&amp;M</v>
      </c>
      <c r="D865" s="2" t="str">
        <f xml:space="preserve"> _xll.EPMOlapMemberO("[AM2MARKETDESCR].[].[CZECH REPUBLIC ESTIC]","","CZECH REPUBLIC ESTIC","","000")</f>
        <v>CZECH REPUBLIC ESTIC</v>
      </c>
      <c r="E865" s="2" t="str">
        <f xml:space="preserve"> _xll.EPMOlapMemberO("[AM2PARENTCUSTGROUP].[].[Mondelez]","","Mondelez","","000")</f>
        <v>Mondelez</v>
      </c>
      <c r="F865" s="2" t="str">
        <f xml:space="preserve"> _xll.EPMOlapMemberO("[KEY_FIGURES].[].[AM2ORDERINTAKE]","","Sales Order","","000")</f>
        <v>Sales Order</v>
      </c>
      <c r="AR865" s="2">
        <v>596.25</v>
      </c>
    </row>
    <row r="866" spans="1:50" x14ac:dyDescent="0.35">
      <c r="A866" s="2" t="str">
        <f xml:space="preserve"> _xll.EPMOlapMemberO("[LOCID].[].[Hamburg plant]","","Hamburg plant","","000")</f>
        <v>Hamburg plant</v>
      </c>
      <c r="B866" s="2" t="str">
        <f xml:space="preserve"> _xll.EPMOlapMemberO("[PRDID].[].[999-50654-0104]","","999-50654-0104","","000")</f>
        <v>999-50654-0104</v>
      </c>
      <c r="C866" s="2" t="str">
        <f xml:space="preserve"> _xll.EPMOlapMemberO("[BRAND].[].[ L&amp;M]",""," L&amp;M","","000")</f>
        <v xml:space="preserve"> L&amp;M</v>
      </c>
      <c r="D866" s="2" t="str">
        <f xml:space="preserve"> _xll.EPMOlapMemberO("[AM2MARKETDESCR].[].[CZECH REPUBLIC ESTIC]","","CZECH REPUBLIC ESTIC","","000")</f>
        <v>CZECH REPUBLIC ESTIC</v>
      </c>
      <c r="E866" s="2" t="str">
        <f xml:space="preserve"> _xll.EPMOlapMemberO("[AM2PARENTCUSTGROUP].[].[__NULL]","","(None)","","000")</f>
        <v>(None)</v>
      </c>
      <c r="F866" s="2" t="str">
        <f xml:space="preserve"> _xll.EPMOlapMemberO("[KEY_FIGURES].[].[CONFIRMEDPRODUCTION]","","Production Order","","000")</f>
        <v>Production Order</v>
      </c>
      <c r="AR866" s="2">
        <v>618.75</v>
      </c>
      <c r="AX866" s="2">
        <v>562.5</v>
      </c>
    </row>
    <row r="867" spans="1:50" x14ac:dyDescent="0.35">
      <c r="A867" s="2" t="str">
        <f xml:space="preserve"> _xll.EPMOlapMemberO("[LOCID].[].[Hamburg plant]","","Hamburg plant","","000")</f>
        <v>Hamburg plant</v>
      </c>
      <c r="B867" s="2" t="str">
        <f xml:space="preserve"> _xll.EPMOlapMemberO("[PRDID].[].[999-50654-0104]","","999-50654-0104","","000")</f>
        <v>999-50654-0104</v>
      </c>
      <c r="C867" s="2" t="str">
        <f xml:space="preserve"> _xll.EPMOlapMemberO("[BRAND].[].[ L&amp;M]",""," L&amp;M","","000")</f>
        <v xml:space="preserve"> L&amp;M</v>
      </c>
      <c r="D867" s="2" t="str">
        <f xml:space="preserve"> _xll.EPMOlapMemberO("[AM2MARKETDESCR].[].[CZECH REPUBLIC ESTIC]","","CZECH REPUBLIC ESTIC","","000")</f>
        <v>CZECH REPUBLIC ESTIC</v>
      </c>
      <c r="E867" s="2" t="str">
        <f xml:space="preserve"> _xll.EPMOlapMemberO("[AM2PARENTCUSTGROUP].[].[Mondelez]","","Mondelez","","000")</f>
        <v>Mondelez</v>
      </c>
      <c r="F867" s="2" t="str">
        <f xml:space="preserve"> _xll.EPMOlapMemberO("[KEY_FIGURES].[].[AM2ORDERINTAKE]","","Sales Order","","000")</f>
        <v>Sales Order</v>
      </c>
      <c r="AR867" s="2">
        <v>618.75</v>
      </c>
    </row>
    <row r="868" spans="1:50" x14ac:dyDescent="0.35">
      <c r="A868" s="2" t="str">
        <f xml:space="preserve"> _xll.EPMOlapMemberO("[LOCID].[].[Hamburg plant]","","Hamburg plant","","000")</f>
        <v>Hamburg plant</v>
      </c>
      <c r="B868" s="2" t="str">
        <f xml:space="preserve"> _xll.EPMOlapMemberO("[PRDID].[].[999-50689-0033]","","999-50689-0033","","000")</f>
        <v>999-50689-0033</v>
      </c>
      <c r="C868" s="2" t="str">
        <f xml:space="preserve"> _xll.EPMOlapMemberO("[BRAND].[].[ MERIT]",""," MERIT","","000")</f>
        <v xml:space="preserve"> MERIT</v>
      </c>
      <c r="D868" s="2" t="str">
        <f xml:space="preserve"> _xll.EPMOlapMemberO("[AM2MARKETDESCR].[].[ITALY ESTIC]","","ITALY ESTIC","","000")</f>
        <v>ITALY ESTIC</v>
      </c>
      <c r="E868" s="2" t="str">
        <f xml:space="preserve"> _xll.EPMOlapMemberO("[AM2PARENTCUSTGROUP].[].[Mondelez]","","Mondelez","","000")</f>
        <v>Mondelez</v>
      </c>
      <c r="F868" s="2" t="str">
        <f xml:space="preserve"> _xll.EPMOlapMemberO("[KEY_FIGURES].[].[AM2ORDERINTAKE]","","Sales Order","","000")</f>
        <v>Sales Order</v>
      </c>
      <c r="G868" s="2">
        <v>497.25</v>
      </c>
      <c r="H868" s="2">
        <v>7560</v>
      </c>
      <c r="J868" s="2">
        <v>8400</v>
      </c>
      <c r="L868" s="2">
        <v>6600</v>
      </c>
      <c r="M868" s="2">
        <v>3240</v>
      </c>
      <c r="N868" s="2">
        <v>4820</v>
      </c>
    </row>
    <row r="869" spans="1:50" x14ac:dyDescent="0.35">
      <c r="A869" s="2" t="str">
        <f xml:space="preserve"> _xll.EPMOlapMemberO("[LOCID].[].[Hamburg plant]","","Hamburg plant","","000")</f>
        <v>Hamburg plant</v>
      </c>
      <c r="B869" s="2" t="str">
        <f xml:space="preserve"> _xll.EPMOlapMemberO("[PRDID].[].[999-50689-0033]","","999-50689-0033","","000")</f>
        <v>999-50689-0033</v>
      </c>
      <c r="C869" s="2" t="str">
        <f xml:space="preserve"> _xll.EPMOlapMemberO("[BRAND].[].[ MERIT]",""," MERIT","","000")</f>
        <v xml:space="preserve"> MERIT</v>
      </c>
      <c r="D869" s="2" t="str">
        <f xml:space="preserve"> _xll.EPMOlapMemberO("[AM2MARKETDESCR].[].[ITALY ESTIC]","","ITALY ESTIC","","000")</f>
        <v>ITALY ESTIC</v>
      </c>
      <c r="E869" s="2" t="str">
        <f xml:space="preserve"> _xll.EPMOlapMemberO("[AM2PARENTCUSTGROUP].[].[Mondelez]","","Mondelez","","000")</f>
        <v>Mondelez</v>
      </c>
      <c r="F869" s="2" t="str">
        <f xml:space="preserve"> _xll.EPMOlapMemberO("[KEY_FIGURES].[].[AM2ACTUALSHIPMENTS]","","Shipments","","000")</f>
        <v>Shipments</v>
      </c>
      <c r="G869" s="2">
        <v>3737.25</v>
      </c>
      <c r="H869" s="2">
        <v>7430</v>
      </c>
      <c r="I869" s="2">
        <v>-1585</v>
      </c>
      <c r="J869" s="2">
        <v>3960</v>
      </c>
      <c r="K869" s="2">
        <v>2160</v>
      </c>
      <c r="L869" s="2">
        <v>6360</v>
      </c>
      <c r="M869" s="2">
        <v>5870</v>
      </c>
      <c r="N869" s="2">
        <v>860</v>
      </c>
    </row>
    <row r="870" spans="1:50" x14ac:dyDescent="0.35">
      <c r="A870" s="2" t="str">
        <f xml:space="preserve"> _xll.EPMOlapMemberO("[LOCID].[].[Hamburg plant]","","Hamburg plant","","000")</f>
        <v>Hamburg plant</v>
      </c>
      <c r="B870" s="2" t="str">
        <f xml:space="preserve"> _xll.EPMOlapMemberO("[PRDID].[].[999-50689-0034]","","999-50689-0034","","000")</f>
        <v>999-50689-0034</v>
      </c>
      <c r="C870" s="2" t="str">
        <f xml:space="preserve"> _xll.EPMOlapMemberO("[BRAND].[].[ MERIT]",""," MERIT","","000")</f>
        <v xml:space="preserve"> MERIT</v>
      </c>
      <c r="D870" s="2" t="str">
        <f xml:space="preserve"> _xll.EPMOlapMemberO("[AM2MARKETDESCR].[].[ITALY ESTIC]","","ITALY ESTIC","","000")</f>
        <v>ITALY ESTIC</v>
      </c>
      <c r="E870" s="2" t="str">
        <f xml:space="preserve"> _xll.EPMOlapMemberO("[AM2PARENTCUSTGROUP].[].[Mondelez]","","Mondelez","","000")</f>
        <v>Mondelez</v>
      </c>
      <c r="F870" s="2" t="str">
        <f xml:space="preserve"> _xll.EPMOlapMemberO("[KEY_FIGURES].[].[AM2ORDERINTAKE]","","Sales Order","","000")</f>
        <v>Sales Order</v>
      </c>
      <c r="K870" s="2">
        <v>3813.75</v>
      </c>
      <c r="M870" s="2">
        <v>258.75</v>
      </c>
    </row>
    <row r="871" spans="1:50" x14ac:dyDescent="0.35">
      <c r="A871" s="2" t="str">
        <f xml:space="preserve"> _xll.EPMOlapMemberO("[LOCID].[].[Hamburg plant]","","Hamburg plant","","000")</f>
        <v>Hamburg plant</v>
      </c>
      <c r="B871" s="2" t="str">
        <f xml:space="preserve"> _xll.EPMOlapMemberO("[PRDID].[].[999-50689-0034]","","999-50689-0034","","000")</f>
        <v>999-50689-0034</v>
      </c>
      <c r="C871" s="2" t="str">
        <f xml:space="preserve"> _xll.EPMOlapMemberO("[BRAND].[].[ MERIT]",""," MERIT","","000")</f>
        <v xml:space="preserve"> MERIT</v>
      </c>
      <c r="D871" s="2" t="str">
        <f xml:space="preserve"> _xll.EPMOlapMemberO("[AM2MARKETDESCR].[].[ITALY ESTIC]","","ITALY ESTIC","","000")</f>
        <v>ITALY ESTIC</v>
      </c>
      <c r="E871" s="2" t="str">
        <f xml:space="preserve"> _xll.EPMOlapMemberO("[AM2PARENTCUSTGROUP].[].[Mondelez]","","Mondelez","","000")</f>
        <v>Mondelez</v>
      </c>
      <c r="F871" s="2" t="str">
        <f xml:space="preserve"> _xll.EPMOlapMemberO("[KEY_FIGURES].[].[AM2ACTUALSHIPMENTS]","","Shipments","","000")</f>
        <v>Shipments</v>
      </c>
      <c r="K871" s="2">
        <v>2835</v>
      </c>
      <c r="L871" s="2">
        <v>978.75</v>
      </c>
      <c r="M871" s="2">
        <v>258.75</v>
      </c>
    </row>
    <row r="872" spans="1:50" x14ac:dyDescent="0.35">
      <c r="A872" s="2" t="str">
        <f xml:space="preserve"> _xll.EPMOlapMemberO("[LOCID].[].[Hamburg plant]","","Hamburg plant","","000")</f>
        <v>Hamburg plant</v>
      </c>
      <c r="B872" s="2" t="str">
        <f xml:space="preserve"> _xll.EPMOlapMemberO("[PRDID].[].[999-50689-0035]","","999-50689-0035","","000")</f>
        <v>999-50689-0035</v>
      </c>
      <c r="C872" s="2" t="str">
        <f xml:space="preserve"> _xll.EPMOlapMemberO("[BRAND].[].[ MERIT]",""," MERIT","","000")</f>
        <v xml:space="preserve"> MERIT</v>
      </c>
      <c r="D872" s="2" t="str">
        <f xml:space="preserve"> _xll.EPMOlapMemberO("[AM2MARKETDESCR].[].[ITALY ESTIC]","","ITALY ESTIC","","000")</f>
        <v>ITALY ESTIC</v>
      </c>
      <c r="E872" s="2" t="str">
        <f xml:space="preserve"> _xll.EPMOlapMemberO("[AM2PARENTCUSTGROUP].[].[Mondelez]","","Mondelez","","000")</f>
        <v>Mondelez</v>
      </c>
      <c r="F872" s="2" t="str">
        <f xml:space="preserve"> _xll.EPMOlapMemberO("[KEY_FIGURES].[].[AM2ORDERINTAKE]","","Sales Order","","000")</f>
        <v>Sales Order</v>
      </c>
      <c r="H872" s="2">
        <v>2400</v>
      </c>
    </row>
    <row r="873" spans="1:50" x14ac:dyDescent="0.35">
      <c r="A873" s="2" t="str">
        <f xml:space="preserve"> _xll.EPMOlapMemberO("[LOCID].[].[Hamburg plant]","","Hamburg plant","","000")</f>
        <v>Hamburg plant</v>
      </c>
      <c r="B873" s="2" t="str">
        <f xml:space="preserve"> _xll.EPMOlapMemberO("[PRDID].[].[999-50689-0035]","","999-50689-0035","","000")</f>
        <v>999-50689-0035</v>
      </c>
      <c r="C873" s="2" t="str">
        <f xml:space="preserve"> _xll.EPMOlapMemberO("[BRAND].[].[ MERIT]",""," MERIT","","000")</f>
        <v xml:space="preserve"> MERIT</v>
      </c>
      <c r="D873" s="2" t="str">
        <f xml:space="preserve"> _xll.EPMOlapMemberO("[AM2MARKETDESCR].[].[ITALY ESTIC]","","ITALY ESTIC","","000")</f>
        <v>ITALY ESTIC</v>
      </c>
      <c r="E873" s="2" t="str">
        <f xml:space="preserve"> _xll.EPMOlapMemberO("[AM2PARENTCUSTGROUP].[].[Mondelez]","","Mondelez","","000")</f>
        <v>Mondelez</v>
      </c>
      <c r="F873" s="2" t="str">
        <f xml:space="preserve"> _xll.EPMOlapMemberO("[KEY_FIGURES].[].[AM2ACTUALSHIPMENTS]","","Shipments","","000")</f>
        <v>Shipments</v>
      </c>
      <c r="H873" s="2">
        <v>2400</v>
      </c>
    </row>
    <row r="874" spans="1:50" x14ac:dyDescent="0.35">
      <c r="A874" s="2" t="str">
        <f xml:space="preserve"> _xll.EPMOlapMemberO("[LOCID].[].[Hamburg plant]","","Hamburg plant","","000")</f>
        <v>Hamburg plant</v>
      </c>
      <c r="B874" s="2" t="str">
        <f xml:space="preserve"> _xll.EPMOlapMemberO("[PRDID].[].[999-50689-0037]","","999-50689-0037","","000")</f>
        <v>999-50689-0037</v>
      </c>
      <c r="C874" s="2" t="str">
        <f xml:space="preserve"> _xll.EPMOlapMemberO("[BRAND].[].[ MERIT]",""," MERIT","","000")</f>
        <v xml:space="preserve"> MERIT</v>
      </c>
      <c r="D874" s="2" t="str">
        <f xml:space="preserve"> _xll.EPMOlapMemberO("[AM2MARKETDESCR].[].[ITALY ESTIC]","","ITALY ESTIC","","000")</f>
        <v>ITALY ESTIC</v>
      </c>
      <c r="E874" s="2" t="str">
        <f xml:space="preserve"> _xll.EPMOlapMemberO("[AM2PARENTCUSTGROUP].[].[Mondelez]","","Mondelez","","000")</f>
        <v>Mondelez</v>
      </c>
      <c r="F874" s="2" t="str">
        <f xml:space="preserve"> _xll.EPMOlapMemberO("[KEY_FIGURES].[].[AM2ORDERINTAKE]","","Sales Order","","000")</f>
        <v>Sales Order</v>
      </c>
      <c r="K874" s="2">
        <v>3360</v>
      </c>
      <c r="M874" s="2">
        <v>1152</v>
      </c>
      <c r="N874" s="2">
        <v>96</v>
      </c>
    </row>
    <row r="875" spans="1:50" x14ac:dyDescent="0.35">
      <c r="A875" s="2" t="str">
        <f xml:space="preserve"> _xll.EPMOlapMemberO("[LOCID].[].[Hamburg plant]","","Hamburg plant","","000")</f>
        <v>Hamburg plant</v>
      </c>
      <c r="B875" s="2" t="str">
        <f xml:space="preserve"> _xll.EPMOlapMemberO("[PRDID].[].[999-50689-0037]","","999-50689-0037","","000")</f>
        <v>999-50689-0037</v>
      </c>
      <c r="C875" s="2" t="str">
        <f xml:space="preserve"> _xll.EPMOlapMemberO("[BRAND].[].[ MERIT]",""," MERIT","","000")</f>
        <v xml:space="preserve"> MERIT</v>
      </c>
      <c r="D875" s="2" t="str">
        <f xml:space="preserve"> _xll.EPMOlapMemberO("[AM2MARKETDESCR].[].[ITALY ESTIC]","","ITALY ESTIC","","000")</f>
        <v>ITALY ESTIC</v>
      </c>
      <c r="E875" s="2" t="str">
        <f xml:space="preserve"> _xll.EPMOlapMemberO("[AM2PARENTCUSTGROUP].[].[Mondelez]","","Mondelez","","000")</f>
        <v>Mondelez</v>
      </c>
      <c r="F875" s="2" t="str">
        <f xml:space="preserve"> _xll.EPMOlapMemberO("[KEY_FIGURES].[].[AM2ACTUALSHIPMENTS]","","Shipments","","000")</f>
        <v>Shipments</v>
      </c>
      <c r="K875" s="2">
        <v>3280</v>
      </c>
      <c r="M875" s="2">
        <v>1152</v>
      </c>
    </row>
    <row r="876" spans="1:50" x14ac:dyDescent="0.35">
      <c r="A876" s="2" t="str">
        <f xml:space="preserve"> _xll.EPMOlapMemberO("[LOCID].[].[Hamburg plant]","","Hamburg plant","","000")</f>
        <v>Hamburg plant</v>
      </c>
      <c r="B876" s="2" t="str">
        <f xml:space="preserve"> _xll.EPMOlapMemberO("[PRDID].[].[999-50689-0040]","","999-50689-0040","","000")</f>
        <v>999-50689-0040</v>
      </c>
      <c r="C876" s="2" t="str">
        <f xml:space="preserve"> _xll.EPMOlapMemberO("[BRAND].[].[ MERIT]",""," MERIT","","000")</f>
        <v xml:space="preserve"> MERIT</v>
      </c>
      <c r="D876" s="2" t="str">
        <f xml:space="preserve"> _xll.EPMOlapMemberO("[AM2MARKETDESCR].[].[ITALY ESTIC]","","ITALY ESTIC","","000")</f>
        <v>ITALY ESTIC</v>
      </c>
      <c r="E876" s="2" t="str">
        <f xml:space="preserve"> _xll.EPMOlapMemberO("[AM2PARENTCUSTGROUP].[].[Mondelez]","","Mondelez","","000")</f>
        <v>Mondelez</v>
      </c>
      <c r="F876" s="2" t="str">
        <f xml:space="preserve"> _xll.EPMOlapMemberO("[KEY_FIGURES].[].[AM2ORDERINTAKE]","","Sales Order","","000")</f>
        <v>Sales Order</v>
      </c>
      <c r="L876" s="2">
        <v>2460</v>
      </c>
    </row>
    <row r="877" spans="1:50" x14ac:dyDescent="0.35">
      <c r="A877" s="2" t="str">
        <f xml:space="preserve"> _xll.EPMOlapMemberO("[LOCID].[].[Hamburg plant]","","Hamburg plant","","000")</f>
        <v>Hamburg plant</v>
      </c>
      <c r="B877" s="2" t="str">
        <f xml:space="preserve"> _xll.EPMOlapMemberO("[PRDID].[].[999-50689-0040]","","999-50689-0040","","000")</f>
        <v>999-50689-0040</v>
      </c>
      <c r="C877" s="2" t="str">
        <f xml:space="preserve"> _xll.EPMOlapMemberO("[BRAND].[].[ MERIT]",""," MERIT","","000")</f>
        <v xml:space="preserve"> MERIT</v>
      </c>
      <c r="D877" s="2" t="str">
        <f xml:space="preserve"> _xll.EPMOlapMemberO("[AM2MARKETDESCR].[].[ITALY ESTIC]","","ITALY ESTIC","","000")</f>
        <v>ITALY ESTIC</v>
      </c>
      <c r="E877" s="2" t="str">
        <f xml:space="preserve"> _xll.EPMOlapMemberO("[AM2PARENTCUSTGROUP].[].[Mondelez]","","Mondelez","","000")</f>
        <v>Mondelez</v>
      </c>
      <c r="F877" s="2" t="str">
        <f xml:space="preserve"> _xll.EPMOlapMemberO("[KEY_FIGURES].[].[AM2ACTUALSHIPMENTS]","","Shipments","","000")</f>
        <v>Shipments</v>
      </c>
      <c r="L877" s="2">
        <v>1440</v>
      </c>
      <c r="M877" s="2">
        <v>1020</v>
      </c>
    </row>
    <row r="878" spans="1:50" x14ac:dyDescent="0.35">
      <c r="A878" s="2" t="str">
        <f xml:space="preserve"> _xll.EPMOlapMemberO("[LOCID].[].[Hamburg plant]","","Hamburg plant","","000")</f>
        <v>Hamburg plant</v>
      </c>
      <c r="B878" s="2" t="str">
        <f xml:space="preserve"> _xll.EPMOlapMemberO("[PRDID].[].[999-50689-0042]","","999-50689-0042","","000")</f>
        <v>999-50689-0042</v>
      </c>
      <c r="C878" s="2" t="str">
        <f xml:space="preserve"> _xll.EPMOlapMemberO("[BRAND].[].[ MERIT]",""," MERIT","","000")</f>
        <v xml:space="preserve"> MERIT</v>
      </c>
      <c r="D878" s="2" t="str">
        <f xml:space="preserve"> _xll.EPMOlapMemberO("[AM2MARKETDESCR].[].[ITALY ESTIC]","","ITALY ESTIC","","000")</f>
        <v>ITALY ESTIC</v>
      </c>
      <c r="E878" s="2" t="str">
        <f xml:space="preserve"> _xll.EPMOlapMemberO("[AM2PARENTCUSTGROUP].[].[Mondelez]","","Mondelez","","000")</f>
        <v>Mondelez</v>
      </c>
      <c r="F878" s="2" t="str">
        <f xml:space="preserve"> _xll.EPMOlapMemberO("[KEY_FIGURES].[].[AM2ORDERINTAKE]","","Sales Order","","000")</f>
        <v>Sales Order</v>
      </c>
      <c r="P878" s="2">
        <v>240</v>
      </c>
    </row>
    <row r="879" spans="1:50" x14ac:dyDescent="0.35">
      <c r="A879" s="2" t="str">
        <f xml:space="preserve"> _xll.EPMOlapMemberO("[LOCID].[].[Hamburg plant]","","Hamburg plant","","000")</f>
        <v>Hamburg plant</v>
      </c>
      <c r="B879" s="2" t="str">
        <f xml:space="preserve"> _xll.EPMOlapMemberO("[PRDID].[].[999-50689-0042]","","999-50689-0042","","000")</f>
        <v>999-50689-0042</v>
      </c>
      <c r="C879" s="2" t="str">
        <f xml:space="preserve"> _xll.EPMOlapMemberO("[BRAND].[].[ MERIT]",""," MERIT","","000")</f>
        <v xml:space="preserve"> MERIT</v>
      </c>
      <c r="D879" s="2" t="str">
        <f xml:space="preserve"> _xll.EPMOlapMemberO("[AM2MARKETDESCR].[].[ITALY ESTIC]","","ITALY ESTIC","","000")</f>
        <v>ITALY ESTIC</v>
      </c>
      <c r="E879" s="2" t="str">
        <f xml:space="preserve"> _xll.EPMOlapMemberO("[AM2PARENTCUSTGROUP].[].[Mondelez]","","Mondelez","","000")</f>
        <v>Mondelez</v>
      </c>
      <c r="F879" s="2" t="str">
        <f xml:space="preserve"> _xll.EPMOlapMemberO("[KEY_FIGURES].[].[AM2ACTUALSHIPMENTS]","","Shipments","","000")</f>
        <v>Shipments</v>
      </c>
      <c r="P879" s="2">
        <v>240</v>
      </c>
    </row>
    <row r="880" spans="1:50" x14ac:dyDescent="0.35">
      <c r="A880" s="2" t="str">
        <f xml:space="preserve"> _xll.EPMOlapMemberO("[LOCID].[].[Hamburg plant]","","Hamburg plant","","000")</f>
        <v>Hamburg plant</v>
      </c>
      <c r="B880" s="2" t="str">
        <f xml:space="preserve"> _xll.EPMOlapMemberO("[PRDID].[].[999-50689-0045]","","999-50689-0045","","000")</f>
        <v>999-50689-0045</v>
      </c>
      <c r="C880" s="2" t="str">
        <f xml:space="preserve"> _xll.EPMOlapMemberO("[BRAND].[].[ MERIT]",""," MERIT","","000")</f>
        <v xml:space="preserve"> MERIT</v>
      </c>
      <c r="D880" s="2" t="str">
        <f xml:space="preserve"> _xll.EPMOlapMemberO("[AM2MARKETDESCR].[].[ITALY ESTIC]","","ITALY ESTIC","","000")</f>
        <v>ITALY ESTIC</v>
      </c>
      <c r="E880" s="2" t="str">
        <f xml:space="preserve"> _xll.EPMOlapMemberO("[AM2PARENTCUSTGROUP].[].[Mondelez]","","Mondelez","","000")</f>
        <v>Mondelez</v>
      </c>
      <c r="F880" s="2" t="str">
        <f xml:space="preserve"> _xll.EPMOlapMemberO("[KEY_FIGURES].[].[AM2ORDERINTAKE]","","Sales Order","","000")</f>
        <v>Sales Order</v>
      </c>
      <c r="O880" s="2">
        <v>8210</v>
      </c>
      <c r="P880" s="2">
        <v>6360</v>
      </c>
    </row>
    <row r="881" spans="1:26" x14ac:dyDescent="0.35">
      <c r="A881" s="2" t="str">
        <f xml:space="preserve"> _xll.EPMOlapMemberO("[LOCID].[].[Hamburg plant]","","Hamburg plant","","000")</f>
        <v>Hamburg plant</v>
      </c>
      <c r="B881" s="2" t="str">
        <f xml:space="preserve"> _xll.EPMOlapMemberO("[PRDID].[].[999-50689-0045]","","999-50689-0045","","000")</f>
        <v>999-50689-0045</v>
      </c>
      <c r="C881" s="2" t="str">
        <f xml:space="preserve"> _xll.EPMOlapMemberO("[BRAND].[].[ MERIT]",""," MERIT","","000")</f>
        <v xml:space="preserve"> MERIT</v>
      </c>
      <c r="D881" s="2" t="str">
        <f xml:space="preserve"> _xll.EPMOlapMemberO("[AM2MARKETDESCR].[].[ITALY ESTIC]","","ITALY ESTIC","","000")</f>
        <v>ITALY ESTIC</v>
      </c>
      <c r="E881" s="2" t="str">
        <f xml:space="preserve"> _xll.EPMOlapMemberO("[AM2PARENTCUSTGROUP].[].[Mondelez]","","Mondelez","","000")</f>
        <v>Mondelez</v>
      </c>
      <c r="F881" s="2" t="str">
        <f xml:space="preserve"> _xll.EPMOlapMemberO("[KEY_FIGURES].[].[AM2ACTUALSHIPMENTS]","","Shipments","","000")</f>
        <v>Shipments</v>
      </c>
      <c r="O881" s="2">
        <v>4190</v>
      </c>
      <c r="P881" s="2">
        <v>6240</v>
      </c>
      <c r="Q881" s="2">
        <v>120</v>
      </c>
    </row>
    <row r="882" spans="1:26" x14ac:dyDescent="0.35">
      <c r="A882" s="2" t="str">
        <f xml:space="preserve"> _xll.EPMOlapMemberO("[LOCID].[].[Hamburg plant]","","Hamburg plant","","000")</f>
        <v>Hamburg plant</v>
      </c>
      <c r="B882" s="2" t="str">
        <f xml:space="preserve"> _xll.EPMOlapMemberO("[PRDID].[].[999-50689-0049]","","999-50689-0049","","000")</f>
        <v>999-50689-0049</v>
      </c>
      <c r="C882" s="2" t="str">
        <f xml:space="preserve"> _xll.EPMOlapMemberO("[BRAND].[].[ MERIT]",""," MERIT","","000")</f>
        <v xml:space="preserve"> MERIT</v>
      </c>
      <c r="D882" s="2" t="str">
        <f xml:space="preserve"> _xll.EPMOlapMemberO("[AM2MARKETDESCR].[].[ITALY ESTIC]","","ITALY ESTIC","","000")</f>
        <v>ITALY ESTIC</v>
      </c>
      <c r="E882" s="2" t="str">
        <f xml:space="preserve"> _xll.EPMOlapMemberO("[AM2PARENTCUSTGROUP].[].[Mondelez]","","Mondelez","","000")</f>
        <v>Mondelez</v>
      </c>
      <c r="F882" s="2" t="str">
        <f xml:space="preserve"> _xll.EPMOlapMemberO("[KEY_FIGURES].[].[AM2ORDERINTAKE]","","Sales Order","","000")</f>
        <v>Sales Order</v>
      </c>
      <c r="O882" s="2">
        <v>1721.25</v>
      </c>
    </row>
    <row r="883" spans="1:26" x14ac:dyDescent="0.35">
      <c r="A883" s="2" t="str">
        <f xml:space="preserve"> _xll.EPMOlapMemberO("[LOCID].[].[Hamburg plant]","","Hamburg plant","","000")</f>
        <v>Hamburg plant</v>
      </c>
      <c r="B883" s="2" t="str">
        <f xml:space="preserve"> _xll.EPMOlapMemberO("[PRDID].[].[999-50689-0049]","","999-50689-0049","","000")</f>
        <v>999-50689-0049</v>
      </c>
      <c r="C883" s="2" t="str">
        <f xml:space="preserve"> _xll.EPMOlapMemberO("[BRAND].[].[ MERIT]",""," MERIT","","000")</f>
        <v xml:space="preserve"> MERIT</v>
      </c>
      <c r="D883" s="2" t="str">
        <f xml:space="preserve"> _xll.EPMOlapMemberO("[AM2MARKETDESCR].[].[ITALY ESTIC]","","ITALY ESTIC","","000")</f>
        <v>ITALY ESTIC</v>
      </c>
      <c r="E883" s="2" t="str">
        <f xml:space="preserve"> _xll.EPMOlapMemberO("[AM2PARENTCUSTGROUP].[].[Mondelez]","","Mondelez","","000")</f>
        <v>Mondelez</v>
      </c>
      <c r="F883" s="2" t="str">
        <f xml:space="preserve"> _xll.EPMOlapMemberO("[KEY_FIGURES].[].[AM2ACTUALSHIPMENTS]","","Shipments","","000")</f>
        <v>Shipments</v>
      </c>
      <c r="O883" s="2">
        <v>1721.25</v>
      </c>
    </row>
    <row r="884" spans="1:26" x14ac:dyDescent="0.35">
      <c r="A884" s="2" t="str">
        <f xml:space="preserve"> _xll.EPMOlapMemberO("[LOCID].[].[Hamburg plant]","","Hamburg plant","","000")</f>
        <v>Hamburg plant</v>
      </c>
      <c r="B884" s="2" t="str">
        <f xml:space="preserve"> _xll.EPMOlapMemberO("[PRDID].[].[999-50689-0050]","","999-50689-0050","","000")</f>
        <v>999-50689-0050</v>
      </c>
      <c r="C884" s="2" t="str">
        <f xml:space="preserve"> _xll.EPMOlapMemberO("[BRAND].[].[ MERIT]",""," MERIT","","000")</f>
        <v xml:space="preserve"> MERIT</v>
      </c>
      <c r="D884" s="2" t="str">
        <f xml:space="preserve"> _xll.EPMOlapMemberO("[AM2MARKETDESCR].[].[ITALY ESTIC]","","ITALY ESTIC","","000")</f>
        <v>ITALY ESTIC</v>
      </c>
      <c r="E884" s="2" t="str">
        <f xml:space="preserve"> _xll.EPMOlapMemberO("[AM2PARENTCUSTGROUP].[].[Mondelez]","","Mondelez","","000")</f>
        <v>Mondelez</v>
      </c>
      <c r="F884" s="2" t="str">
        <f xml:space="preserve"> _xll.EPMOlapMemberO("[KEY_FIGURES].[].[AM2ORDERINTAKE]","","Sales Order","","000")</f>
        <v>Sales Order</v>
      </c>
      <c r="O884" s="2">
        <v>180</v>
      </c>
      <c r="P884" s="2">
        <v>30</v>
      </c>
      <c r="Q884" s="2">
        <v>30</v>
      </c>
    </row>
    <row r="885" spans="1:26" x14ac:dyDescent="0.35">
      <c r="A885" s="2" t="str">
        <f xml:space="preserve"> _xll.EPMOlapMemberO("[LOCID].[].[Hamburg plant]","","Hamburg plant","","000")</f>
        <v>Hamburg plant</v>
      </c>
      <c r="B885" s="2" t="str">
        <f xml:space="preserve"> _xll.EPMOlapMemberO("[PRDID].[].[999-50689-0050]","","999-50689-0050","","000")</f>
        <v>999-50689-0050</v>
      </c>
      <c r="C885" s="2" t="str">
        <f xml:space="preserve"> _xll.EPMOlapMemberO("[BRAND].[].[ MERIT]",""," MERIT","","000")</f>
        <v xml:space="preserve"> MERIT</v>
      </c>
      <c r="D885" s="2" t="str">
        <f xml:space="preserve"> _xll.EPMOlapMemberO("[AM2MARKETDESCR].[].[ITALY ESTIC]","","ITALY ESTIC","","000")</f>
        <v>ITALY ESTIC</v>
      </c>
      <c r="E885" s="2" t="str">
        <f xml:space="preserve"> _xll.EPMOlapMemberO("[AM2PARENTCUSTGROUP].[].[Mondelez]","","Mondelez","","000")</f>
        <v>Mondelez</v>
      </c>
      <c r="F885" s="2" t="str">
        <f xml:space="preserve"> _xll.EPMOlapMemberO("[KEY_FIGURES].[].[AM2ACTUALSHIPMENTS]","","Shipments","","000")</f>
        <v>Shipments</v>
      </c>
      <c r="O885" s="2">
        <v>180</v>
      </c>
      <c r="P885" s="2">
        <v>30</v>
      </c>
      <c r="Q885" s="2">
        <v>30</v>
      </c>
    </row>
    <row r="886" spans="1:26" x14ac:dyDescent="0.35">
      <c r="A886" s="2" t="str">
        <f xml:space="preserve"> _xll.EPMOlapMemberO("[LOCID].[].[Hamburg plant]","","Hamburg plant","","000")</f>
        <v>Hamburg plant</v>
      </c>
      <c r="B886" s="2" t="str">
        <f xml:space="preserve"> _xll.EPMOlapMemberO("[PRDID].[].[999-50689-0051]","","999-50689-0051","","000")</f>
        <v>999-50689-0051</v>
      </c>
      <c r="C886" s="2" t="str">
        <f xml:space="preserve"> _xll.EPMOlapMemberO("[BRAND].[].[ MERIT]",""," MERIT","","000")</f>
        <v xml:space="preserve"> MERIT</v>
      </c>
      <c r="D886" s="2" t="str">
        <f xml:space="preserve"> _xll.EPMOlapMemberO("[AM2MARKETDESCR].[].[ITALY ESTIC]","","ITALY ESTIC","","000")</f>
        <v>ITALY ESTIC</v>
      </c>
      <c r="E886" s="2" t="str">
        <f xml:space="preserve"> _xll.EPMOlapMemberO("[AM2PARENTCUSTGROUP].[].[Mondelez]","","Mondelez","","000")</f>
        <v>Mondelez</v>
      </c>
      <c r="F886" s="2" t="str">
        <f xml:space="preserve"> _xll.EPMOlapMemberO("[KEY_FIGURES].[].[AM2ORDERINTAKE]","","Sales Order","","000")</f>
        <v>Sales Order</v>
      </c>
      <c r="P886" s="2">
        <v>2552</v>
      </c>
    </row>
    <row r="887" spans="1:26" x14ac:dyDescent="0.35">
      <c r="A887" s="2" t="str">
        <f xml:space="preserve"> _xll.EPMOlapMemberO("[LOCID].[].[Hamburg plant]","","Hamburg plant","","000")</f>
        <v>Hamburg plant</v>
      </c>
      <c r="B887" s="2" t="str">
        <f xml:space="preserve"> _xll.EPMOlapMemberO("[PRDID].[].[999-50689-0051]","","999-50689-0051","","000")</f>
        <v>999-50689-0051</v>
      </c>
      <c r="C887" s="2" t="str">
        <f xml:space="preserve"> _xll.EPMOlapMemberO("[BRAND].[].[ MERIT]",""," MERIT","","000")</f>
        <v xml:space="preserve"> MERIT</v>
      </c>
      <c r="D887" s="2" t="str">
        <f xml:space="preserve"> _xll.EPMOlapMemberO("[AM2MARKETDESCR].[].[ITALY ESTIC]","","ITALY ESTIC","","000")</f>
        <v>ITALY ESTIC</v>
      </c>
      <c r="E887" s="2" t="str">
        <f xml:space="preserve"> _xll.EPMOlapMemberO("[AM2PARENTCUSTGROUP].[].[Mondelez]","","Mondelez","","000")</f>
        <v>Mondelez</v>
      </c>
      <c r="F887" s="2" t="str">
        <f xml:space="preserve"> _xll.EPMOlapMemberO("[KEY_FIGURES].[].[AM2ACTUALSHIPMENTS]","","Shipments","","000")</f>
        <v>Shipments</v>
      </c>
      <c r="P887" s="2">
        <v>2552</v>
      </c>
    </row>
    <row r="888" spans="1:26" x14ac:dyDescent="0.35">
      <c r="A888" s="2" t="str">
        <f xml:space="preserve"> _xll.EPMOlapMemberO("[LOCID].[].[Hamburg plant]","","Hamburg plant","","000")</f>
        <v>Hamburg plant</v>
      </c>
      <c r="B888" s="2" t="str">
        <f xml:space="preserve"> _xll.EPMOlapMemberO("[PRDID].[].[999-50689-0052]","","999-50689-0052","","000")</f>
        <v>999-50689-0052</v>
      </c>
      <c r="C888" s="2" t="str">
        <f xml:space="preserve"> _xll.EPMOlapMemberO("[BRAND].[].[ MERIT]",""," MERIT","","000")</f>
        <v xml:space="preserve"> MERIT</v>
      </c>
      <c r="D888" s="2" t="str">
        <f xml:space="preserve"> _xll.EPMOlapMemberO("[AM2MARKETDESCR].[].[ITALY ESTIC]","","ITALY ESTIC","","000")</f>
        <v>ITALY ESTIC</v>
      </c>
      <c r="E888" s="2" t="str">
        <f xml:space="preserve"> _xll.EPMOlapMemberO("[AM2PARENTCUSTGROUP].[].[Mondelez]","","Mondelez","","000")</f>
        <v>Mondelez</v>
      </c>
      <c r="F888" s="2" t="str">
        <f xml:space="preserve"> _xll.EPMOlapMemberO("[KEY_FIGURES].[].[AM2ORDERINTAKE]","","Sales Order","","000")</f>
        <v>Sales Order</v>
      </c>
      <c r="P888" s="2">
        <v>2976</v>
      </c>
      <c r="Q888" s="2">
        <v>960</v>
      </c>
      <c r="S888" s="2">
        <v>3936</v>
      </c>
      <c r="U888" s="2">
        <v>4224</v>
      </c>
      <c r="X888" s="2">
        <v>2680</v>
      </c>
      <c r="Z888" s="2">
        <v>1360</v>
      </c>
    </row>
    <row r="889" spans="1:26" x14ac:dyDescent="0.35">
      <c r="A889" s="2" t="str">
        <f xml:space="preserve"> _xll.EPMOlapMemberO("[LOCID].[].[Hamburg plant]","","Hamburg plant","","000")</f>
        <v>Hamburg plant</v>
      </c>
      <c r="B889" s="2" t="str">
        <f xml:space="preserve"> _xll.EPMOlapMemberO("[PRDID].[].[999-50689-0052]","","999-50689-0052","","000")</f>
        <v>999-50689-0052</v>
      </c>
      <c r="C889" s="2" t="str">
        <f xml:space="preserve"> _xll.EPMOlapMemberO("[BRAND].[].[ MERIT]",""," MERIT","","000")</f>
        <v xml:space="preserve"> MERIT</v>
      </c>
      <c r="D889" s="2" t="str">
        <f xml:space="preserve"> _xll.EPMOlapMemberO("[AM2MARKETDESCR].[].[ITALY ESTIC]","","ITALY ESTIC","","000")</f>
        <v>ITALY ESTIC</v>
      </c>
      <c r="E889" s="2" t="str">
        <f xml:space="preserve"> _xll.EPMOlapMemberO("[AM2PARENTCUSTGROUP].[].[Mondelez]","","Mondelez","","000")</f>
        <v>Mondelez</v>
      </c>
      <c r="F889" s="2" t="str">
        <f xml:space="preserve"> _xll.EPMOlapMemberO("[KEY_FIGURES].[].[AM2ACTUALSHIPMENTS]","","Shipments","","000")</f>
        <v>Shipments</v>
      </c>
      <c r="P889" s="2">
        <v>2840</v>
      </c>
      <c r="Q889" s="2">
        <v>960</v>
      </c>
      <c r="S889" s="2">
        <v>3936</v>
      </c>
      <c r="U889" s="2">
        <v>2496</v>
      </c>
      <c r="V889" s="2">
        <v>1712</v>
      </c>
      <c r="X889" s="2">
        <v>2680</v>
      </c>
      <c r="Z889" s="2">
        <v>1360</v>
      </c>
    </row>
    <row r="890" spans="1:26" x14ac:dyDescent="0.35">
      <c r="A890" s="2" t="str">
        <f xml:space="preserve"> _xll.EPMOlapMemberO("[LOCID].[].[Hamburg plant]","","Hamburg plant","","000")</f>
        <v>Hamburg plant</v>
      </c>
      <c r="B890" s="2" t="str">
        <f xml:space="preserve"> _xll.EPMOlapMemberO("[PRDID].[].[999-50689-0053]","","999-50689-0053","","000")</f>
        <v>999-50689-0053</v>
      </c>
      <c r="C890" s="2" t="str">
        <f xml:space="preserve"> _xll.EPMOlapMemberO("[BRAND].[].[ MERIT]",""," MERIT","","000")</f>
        <v xml:space="preserve"> MERIT</v>
      </c>
      <c r="D890" s="2" t="str">
        <f xml:space="preserve"> _xll.EPMOlapMemberO("[AM2MARKETDESCR].[].[ITALY ESTIC]","","ITALY ESTIC","","000")</f>
        <v>ITALY ESTIC</v>
      </c>
      <c r="E890" s="2" t="str">
        <f xml:space="preserve"> _xll.EPMOlapMemberO("[AM2PARENTCUSTGROUP].[].[Mondelez]","","Mondelez","","000")</f>
        <v>Mondelez</v>
      </c>
      <c r="F890" s="2" t="str">
        <f xml:space="preserve"> _xll.EPMOlapMemberO("[KEY_FIGURES].[].[AM2ORDERINTAKE]","","Sales Order","","000")</f>
        <v>Sales Order</v>
      </c>
      <c r="Q890" s="2">
        <v>12720</v>
      </c>
      <c r="R890" s="2">
        <v>12840</v>
      </c>
      <c r="W890" s="2">
        <v>16300</v>
      </c>
      <c r="X890" s="2">
        <v>1200</v>
      </c>
      <c r="Y890" s="2">
        <v>7440</v>
      </c>
    </row>
    <row r="891" spans="1:26" x14ac:dyDescent="0.35">
      <c r="A891" s="2" t="str">
        <f xml:space="preserve"> _xll.EPMOlapMemberO("[LOCID].[].[Hamburg plant]","","Hamburg plant","","000")</f>
        <v>Hamburg plant</v>
      </c>
      <c r="B891" s="2" t="str">
        <f xml:space="preserve"> _xll.EPMOlapMemberO("[PRDID].[].[999-50689-0053]","","999-50689-0053","","000")</f>
        <v>999-50689-0053</v>
      </c>
      <c r="C891" s="2" t="str">
        <f xml:space="preserve"> _xll.EPMOlapMemberO("[BRAND].[].[ MERIT]",""," MERIT","","000")</f>
        <v xml:space="preserve"> MERIT</v>
      </c>
      <c r="D891" s="2" t="str">
        <f xml:space="preserve"> _xll.EPMOlapMemberO("[AM2MARKETDESCR].[].[ITALY ESTIC]","","ITALY ESTIC","","000")</f>
        <v>ITALY ESTIC</v>
      </c>
      <c r="E891" s="2" t="str">
        <f xml:space="preserve"> _xll.EPMOlapMemberO("[AM2PARENTCUSTGROUP].[].[Mondelez]","","Mondelez","","000")</f>
        <v>Mondelez</v>
      </c>
      <c r="F891" s="2" t="str">
        <f xml:space="preserve"> _xll.EPMOlapMemberO("[KEY_FIGURES].[].[AM2ACTUALSHIPMENTS]","","Shipments","","000")</f>
        <v>Shipments</v>
      </c>
      <c r="Q891" s="2">
        <v>7890</v>
      </c>
      <c r="R891" s="2">
        <v>6600</v>
      </c>
      <c r="W891" s="2">
        <v>1420</v>
      </c>
      <c r="X891" s="2">
        <v>1200</v>
      </c>
      <c r="Y891" s="2">
        <v>7440</v>
      </c>
    </row>
    <row r="892" spans="1:26" x14ac:dyDescent="0.35">
      <c r="A892" s="2" t="str">
        <f xml:space="preserve"> _xll.EPMOlapMemberO("[LOCID].[].[Hamburg plant]","","Hamburg plant","","000")</f>
        <v>Hamburg plant</v>
      </c>
      <c r="B892" s="2" t="str">
        <f xml:space="preserve"> _xll.EPMOlapMemberO("[PRDID].[].[999-50689-0054]","","999-50689-0054","","000")</f>
        <v>999-50689-0054</v>
      </c>
      <c r="C892" s="2" t="str">
        <f xml:space="preserve"> _xll.EPMOlapMemberO("[BRAND].[].[ MERIT]",""," MERIT","","000")</f>
        <v xml:space="preserve"> MERIT</v>
      </c>
      <c r="D892" s="2" t="str">
        <f xml:space="preserve"> _xll.EPMOlapMemberO("[AM2MARKETDESCR].[].[ITALY ESTIC]","","ITALY ESTIC","","000")</f>
        <v>ITALY ESTIC</v>
      </c>
      <c r="E892" s="2" t="str">
        <f xml:space="preserve"> _xll.EPMOlapMemberO("[AM2PARENTCUSTGROUP].[].[Mondelez]","","Mondelez","","000")</f>
        <v>Mondelez</v>
      </c>
      <c r="F892" s="2" t="str">
        <f xml:space="preserve"> _xll.EPMOlapMemberO("[KEY_FIGURES].[].[AM2ORDERINTAKE]","","Sales Order","","000")</f>
        <v>Sales Order</v>
      </c>
      <c r="P892" s="2">
        <v>1920</v>
      </c>
      <c r="S892" s="2">
        <v>480</v>
      </c>
      <c r="W892" s="2">
        <v>1120</v>
      </c>
    </row>
    <row r="893" spans="1:26" x14ac:dyDescent="0.35">
      <c r="A893" s="2" t="str">
        <f xml:space="preserve"> _xll.EPMOlapMemberO("[LOCID].[].[Hamburg plant]","","Hamburg plant","","000")</f>
        <v>Hamburg plant</v>
      </c>
      <c r="B893" s="2" t="str">
        <f xml:space="preserve"> _xll.EPMOlapMemberO("[PRDID].[].[999-50689-0054]","","999-50689-0054","","000")</f>
        <v>999-50689-0054</v>
      </c>
      <c r="C893" s="2" t="str">
        <f xml:space="preserve"> _xll.EPMOlapMemberO("[BRAND].[].[ MERIT]",""," MERIT","","000")</f>
        <v xml:space="preserve"> MERIT</v>
      </c>
      <c r="D893" s="2" t="str">
        <f xml:space="preserve"> _xll.EPMOlapMemberO("[AM2MARKETDESCR].[].[ITALY ESTIC]","","ITALY ESTIC","","000")</f>
        <v>ITALY ESTIC</v>
      </c>
      <c r="E893" s="2" t="str">
        <f xml:space="preserve"> _xll.EPMOlapMemberO("[AM2PARENTCUSTGROUP].[].[Mondelez]","","Mondelez","","000")</f>
        <v>Mondelez</v>
      </c>
      <c r="F893" s="2" t="str">
        <f xml:space="preserve"> _xll.EPMOlapMemberO("[KEY_FIGURES].[].[AM2ACTUALSHIPMENTS]","","Shipments","","000")</f>
        <v>Shipments</v>
      </c>
      <c r="Q893" s="2">
        <v>1560</v>
      </c>
      <c r="R893" s="2">
        <v>360</v>
      </c>
      <c r="T893" s="2">
        <v>480</v>
      </c>
      <c r="W893" s="2">
        <v>1120</v>
      </c>
    </row>
    <row r="894" spans="1:26" x14ac:dyDescent="0.35">
      <c r="A894" s="2" t="str">
        <f xml:space="preserve"> _xll.EPMOlapMemberO("[LOCID].[].[Hamburg plant]","","Hamburg plant","","000")</f>
        <v>Hamburg plant</v>
      </c>
      <c r="B894" s="2" t="str">
        <f xml:space="preserve"> _xll.EPMOlapMemberO("[PRDID].[].[999-50689-0055]","","999-50689-0055","","000")</f>
        <v>999-50689-0055</v>
      </c>
      <c r="C894" s="2" t="str">
        <f xml:space="preserve"> _xll.EPMOlapMemberO("[BRAND].[].[ MERIT]",""," MERIT","","000")</f>
        <v xml:space="preserve"> MERIT</v>
      </c>
      <c r="D894" s="2" t="str">
        <f xml:space="preserve"> _xll.EPMOlapMemberO("[AM2MARKETDESCR].[].[ITALY ESTIC]","","ITALY ESTIC","","000")</f>
        <v>ITALY ESTIC</v>
      </c>
      <c r="E894" s="2" t="str">
        <f xml:space="preserve"> _xll.EPMOlapMemberO("[AM2PARENTCUSTGROUP].[].[Mondelez]","","Mondelez","","000")</f>
        <v>Mondelez</v>
      </c>
      <c r="F894" s="2" t="str">
        <f xml:space="preserve"> _xll.EPMOlapMemberO("[KEY_FIGURES].[].[AM2ORDERINTAKE]","","Sales Order","","000")</f>
        <v>Sales Order</v>
      </c>
      <c r="P894" s="2">
        <v>3408.75</v>
      </c>
    </row>
    <row r="895" spans="1:26" x14ac:dyDescent="0.35">
      <c r="A895" s="2" t="str">
        <f xml:space="preserve"> _xll.EPMOlapMemberO("[LOCID].[].[Hamburg plant]","","Hamburg plant","","000")</f>
        <v>Hamburg plant</v>
      </c>
      <c r="B895" s="2" t="str">
        <f xml:space="preserve"> _xll.EPMOlapMemberO("[PRDID].[].[999-50689-0055]","","999-50689-0055","","000")</f>
        <v>999-50689-0055</v>
      </c>
      <c r="C895" s="2" t="str">
        <f xml:space="preserve"> _xll.EPMOlapMemberO("[BRAND].[].[ MERIT]",""," MERIT","","000")</f>
        <v xml:space="preserve"> MERIT</v>
      </c>
      <c r="D895" s="2" t="str">
        <f xml:space="preserve"> _xll.EPMOlapMemberO("[AM2MARKETDESCR].[].[ITALY ESTIC]","","ITALY ESTIC","","000")</f>
        <v>ITALY ESTIC</v>
      </c>
      <c r="E895" s="2" t="str">
        <f xml:space="preserve"> _xll.EPMOlapMemberO("[AM2PARENTCUSTGROUP].[].[Mondelez]","","Mondelez","","000")</f>
        <v>Mondelez</v>
      </c>
      <c r="F895" s="2" t="str">
        <f xml:space="preserve"> _xll.EPMOlapMemberO("[KEY_FIGURES].[].[AM2ACTUALSHIPMENTS]","","Shipments","","000")</f>
        <v>Shipments</v>
      </c>
      <c r="P895" s="2">
        <v>3408.75</v>
      </c>
    </row>
    <row r="896" spans="1:26" x14ac:dyDescent="0.35">
      <c r="A896" s="2" t="str">
        <f xml:space="preserve"> _xll.EPMOlapMemberO("[LOCID].[].[Hamburg plant]","","Hamburg plant","","000")</f>
        <v>Hamburg plant</v>
      </c>
      <c r="B896" s="2" t="str">
        <f xml:space="preserve"> _xll.EPMOlapMemberO("[PRDID].[].[999-50689-0056]","","999-50689-0056","","000")</f>
        <v>999-50689-0056</v>
      </c>
      <c r="C896" s="2" t="str">
        <f xml:space="preserve"> _xll.EPMOlapMemberO("[BRAND].[].[ MERIT]",""," MERIT","","000")</f>
        <v xml:space="preserve"> MERIT</v>
      </c>
      <c r="D896" s="2" t="str">
        <f xml:space="preserve"> _xll.EPMOlapMemberO("[AM2MARKETDESCR].[].[ITALY ESTIC]","","ITALY ESTIC","","000")</f>
        <v>ITALY ESTIC</v>
      </c>
      <c r="E896" s="2" t="str">
        <f xml:space="preserve"> _xll.EPMOlapMemberO("[AM2PARENTCUSTGROUP].[].[Mondelez]","","Mondelez","","000")</f>
        <v>Mondelez</v>
      </c>
      <c r="F896" s="2" t="str">
        <f xml:space="preserve"> _xll.EPMOlapMemberO("[KEY_FIGURES].[].[AM2ORDERINTAKE]","","Sales Order","","000")</f>
        <v>Sales Order</v>
      </c>
      <c r="P896" s="2">
        <v>384</v>
      </c>
      <c r="Q896" s="2">
        <v>96</v>
      </c>
      <c r="T896" s="2">
        <v>288</v>
      </c>
      <c r="U896" s="2">
        <v>288</v>
      </c>
      <c r="V896" s="2">
        <v>384</v>
      </c>
      <c r="Y896" s="2">
        <v>256</v>
      </c>
    </row>
    <row r="897" spans="1:38" x14ac:dyDescent="0.35">
      <c r="A897" s="2" t="str">
        <f xml:space="preserve"> _xll.EPMOlapMemberO("[LOCID].[].[Hamburg plant]","","Hamburg plant","","000")</f>
        <v>Hamburg plant</v>
      </c>
      <c r="B897" s="2" t="str">
        <f xml:space="preserve"> _xll.EPMOlapMemberO("[PRDID].[].[999-50689-0056]","","999-50689-0056","","000")</f>
        <v>999-50689-0056</v>
      </c>
      <c r="C897" s="2" t="str">
        <f xml:space="preserve"> _xll.EPMOlapMemberO("[BRAND].[].[ MERIT]",""," MERIT","","000")</f>
        <v xml:space="preserve"> MERIT</v>
      </c>
      <c r="D897" s="2" t="str">
        <f xml:space="preserve"> _xll.EPMOlapMemberO("[AM2MARKETDESCR].[].[ITALY ESTIC]","","ITALY ESTIC","","000")</f>
        <v>ITALY ESTIC</v>
      </c>
      <c r="E897" s="2" t="str">
        <f xml:space="preserve"> _xll.EPMOlapMemberO("[AM2PARENTCUSTGROUP].[].[Mondelez]","","Mondelez","","000")</f>
        <v>Mondelez</v>
      </c>
      <c r="F897" s="2" t="str">
        <f xml:space="preserve"> _xll.EPMOlapMemberO("[KEY_FIGURES].[].[AM2ACTUALSHIPMENTS]","","Shipments","","000")</f>
        <v>Shipments</v>
      </c>
      <c r="Q897" s="2">
        <v>192</v>
      </c>
      <c r="T897" s="2">
        <v>288</v>
      </c>
      <c r="U897" s="2">
        <v>288</v>
      </c>
      <c r="V897" s="2">
        <v>384</v>
      </c>
      <c r="Y897" s="2">
        <v>256</v>
      </c>
    </row>
    <row r="898" spans="1:38" x14ac:dyDescent="0.35">
      <c r="A898" s="2" t="str">
        <f xml:space="preserve"> _xll.EPMOlapMemberO("[LOCID].[].[Hamburg plant]","","Hamburg plant","","000")</f>
        <v>Hamburg plant</v>
      </c>
      <c r="B898" s="2" t="str">
        <f xml:space="preserve"> _xll.EPMOlapMemberO("[PRDID].[].[999-50689-0057]","","999-50689-0057","","000")</f>
        <v>999-50689-0057</v>
      </c>
      <c r="C898" s="2" t="str">
        <f xml:space="preserve"> _xll.EPMOlapMemberO("[BRAND].[].[ MERIT]",""," MERIT","","000")</f>
        <v xml:space="preserve"> MERIT</v>
      </c>
      <c r="D898" s="2" t="str">
        <f xml:space="preserve"> _xll.EPMOlapMemberO("[AM2MARKETDESCR].[].[ITALY ESTIC]","","ITALY ESTIC","","000")</f>
        <v>ITALY ESTIC</v>
      </c>
      <c r="E898" s="2" t="str">
        <f xml:space="preserve"> _xll.EPMOlapMemberO("[AM2PARENTCUSTGROUP].[].[Mondelez]","","Mondelez","","000")</f>
        <v>Mondelez</v>
      </c>
      <c r="F898" s="2" t="str">
        <f xml:space="preserve"> _xll.EPMOlapMemberO("[KEY_FIGURES].[].[AM2ORDERINTAKE]","","Sales Order","","000")</f>
        <v>Sales Order</v>
      </c>
      <c r="P898" s="2">
        <v>1080</v>
      </c>
      <c r="S898" s="2">
        <v>360</v>
      </c>
      <c r="U898" s="2">
        <v>600</v>
      </c>
      <c r="W898" s="2">
        <v>360</v>
      </c>
    </row>
    <row r="899" spans="1:38" x14ac:dyDescent="0.35">
      <c r="A899" s="2" t="str">
        <f xml:space="preserve"> _xll.EPMOlapMemberO("[LOCID].[].[Hamburg plant]","","Hamburg plant","","000")</f>
        <v>Hamburg plant</v>
      </c>
      <c r="B899" s="2" t="str">
        <f xml:space="preserve"> _xll.EPMOlapMemberO("[PRDID].[].[999-50689-0057]","","999-50689-0057","","000")</f>
        <v>999-50689-0057</v>
      </c>
      <c r="C899" s="2" t="str">
        <f xml:space="preserve"> _xll.EPMOlapMemberO("[BRAND].[].[ MERIT]",""," MERIT","","000")</f>
        <v xml:space="preserve"> MERIT</v>
      </c>
      <c r="D899" s="2" t="str">
        <f xml:space="preserve"> _xll.EPMOlapMemberO("[AM2MARKETDESCR].[].[ITALY ESTIC]","","ITALY ESTIC","","000")</f>
        <v>ITALY ESTIC</v>
      </c>
      <c r="E899" s="2" t="str">
        <f xml:space="preserve"> _xll.EPMOlapMemberO("[AM2PARENTCUSTGROUP].[].[Mondelez]","","Mondelez","","000")</f>
        <v>Mondelez</v>
      </c>
      <c r="F899" s="2" t="str">
        <f xml:space="preserve"> _xll.EPMOlapMemberO("[KEY_FIGURES].[].[AM2ACTUALSHIPMENTS]","","Shipments","","000")</f>
        <v>Shipments</v>
      </c>
      <c r="Q899" s="2">
        <v>1080</v>
      </c>
      <c r="S899" s="2">
        <v>360</v>
      </c>
      <c r="U899" s="2">
        <v>600</v>
      </c>
      <c r="W899" s="2">
        <v>360</v>
      </c>
    </row>
    <row r="900" spans="1:38" x14ac:dyDescent="0.35">
      <c r="A900" s="2" t="str">
        <f xml:space="preserve"> _xll.EPMOlapMemberO("[LOCID].[].[Hamburg plant]","","Hamburg plant","","000")</f>
        <v>Hamburg plant</v>
      </c>
      <c r="B900" s="2" t="str">
        <f xml:space="preserve"> _xll.EPMOlapMemberO("[PRDID].[].[999-50689-0061]","","999-50689-0061","","000")</f>
        <v>999-50689-0061</v>
      </c>
      <c r="C900" s="2" t="str">
        <f xml:space="preserve"> _xll.EPMOlapMemberO("[BRAND].[].[ MERIT]",""," MERIT","","000")</f>
        <v xml:space="preserve"> MERIT</v>
      </c>
      <c r="D900" s="2" t="str">
        <f xml:space="preserve"> _xll.EPMOlapMemberO("[AM2MARKETDESCR].[].[ITALY ESTIC]","","ITALY ESTIC","","000")</f>
        <v>ITALY ESTIC</v>
      </c>
      <c r="E900" s="2" t="str">
        <f xml:space="preserve"> _xll.EPMOlapMemberO("[AM2PARENTCUSTGROUP].[].[Mondelez]","","Mondelez","","000")</f>
        <v>Mondelez</v>
      </c>
      <c r="F900" s="2" t="str">
        <f xml:space="preserve"> _xll.EPMOlapMemberO("[KEY_FIGURES].[].[AM2ORDERINTAKE]","","Sales Order","","000")</f>
        <v>Sales Order</v>
      </c>
      <c r="AA900" s="2">
        <v>288</v>
      </c>
      <c r="AC900" s="2">
        <v>576</v>
      </c>
      <c r="AG900" s="2">
        <v>384</v>
      </c>
      <c r="AK900" s="2">
        <v>128</v>
      </c>
    </row>
    <row r="901" spans="1:38" x14ac:dyDescent="0.35">
      <c r="A901" s="2" t="str">
        <f xml:space="preserve"> _xll.EPMOlapMemberO("[LOCID].[].[Hamburg plant]","","Hamburg plant","","000")</f>
        <v>Hamburg plant</v>
      </c>
      <c r="B901" s="2" t="str">
        <f xml:space="preserve"> _xll.EPMOlapMemberO("[PRDID].[].[999-50689-0061]","","999-50689-0061","","000")</f>
        <v>999-50689-0061</v>
      </c>
      <c r="C901" s="2" t="str">
        <f xml:space="preserve"> _xll.EPMOlapMemberO("[BRAND].[].[ MERIT]",""," MERIT","","000")</f>
        <v xml:space="preserve"> MERIT</v>
      </c>
      <c r="D901" s="2" t="str">
        <f xml:space="preserve"> _xll.EPMOlapMemberO("[AM2MARKETDESCR].[].[ITALY ESTIC]","","ITALY ESTIC","","000")</f>
        <v>ITALY ESTIC</v>
      </c>
      <c r="E901" s="2" t="str">
        <f xml:space="preserve"> _xll.EPMOlapMemberO("[AM2PARENTCUSTGROUP].[].[Mondelez]","","Mondelez","","000")</f>
        <v>Mondelez</v>
      </c>
      <c r="F901" s="2" t="str">
        <f xml:space="preserve"> _xll.EPMOlapMemberO("[KEY_FIGURES].[].[AM2ACTUALSHIPMENTS]","","Shipments","","000")</f>
        <v>Shipments</v>
      </c>
      <c r="AA901" s="2">
        <v>192</v>
      </c>
      <c r="AC901" s="2">
        <v>672</v>
      </c>
      <c r="AG901" s="2">
        <v>384</v>
      </c>
      <c r="AK901" s="2">
        <v>128</v>
      </c>
    </row>
    <row r="902" spans="1:38" x14ac:dyDescent="0.35">
      <c r="A902" s="2" t="str">
        <f xml:space="preserve"> _xll.EPMOlapMemberO("[LOCID].[].[Hamburg plant]","","Hamburg plant","","000")</f>
        <v>Hamburg plant</v>
      </c>
      <c r="B902" s="2" t="str">
        <f xml:space="preserve"> _xll.EPMOlapMemberO("[PRDID].[].[999-50689-0062]","","999-50689-0062","","000")</f>
        <v>999-50689-0062</v>
      </c>
      <c r="C902" s="2" t="str">
        <f xml:space="preserve"> _xll.EPMOlapMemberO("[BRAND].[].[ MERIT]",""," MERIT","","000")</f>
        <v xml:space="preserve"> MERIT</v>
      </c>
      <c r="D902" s="2" t="str">
        <f xml:space="preserve"> _xll.EPMOlapMemberO("[AM2MARKETDESCR].[].[ITALY ESTIC]","","ITALY ESTIC","","000")</f>
        <v>ITALY ESTIC</v>
      </c>
      <c r="E902" s="2" t="str">
        <f xml:space="preserve"> _xll.EPMOlapMemberO("[AM2PARENTCUSTGROUP].[].[Mondelez]","","Mondelez","","000")</f>
        <v>Mondelez</v>
      </c>
      <c r="F902" s="2" t="str">
        <f xml:space="preserve"> _xll.EPMOlapMemberO("[KEY_FIGURES].[].[AM2ORDERINTAKE]","","Sales Order","","000")</f>
        <v>Sales Order</v>
      </c>
      <c r="AA902" s="2">
        <v>1560</v>
      </c>
      <c r="AE902" s="2">
        <v>1080</v>
      </c>
      <c r="AI902" s="2">
        <v>570</v>
      </c>
    </row>
    <row r="903" spans="1:38" x14ac:dyDescent="0.35">
      <c r="A903" s="2" t="str">
        <f xml:space="preserve"> _xll.EPMOlapMemberO("[LOCID].[].[Hamburg plant]","","Hamburg plant","","000")</f>
        <v>Hamburg plant</v>
      </c>
      <c r="B903" s="2" t="str">
        <f xml:space="preserve"> _xll.EPMOlapMemberO("[PRDID].[].[999-50689-0062]","","999-50689-0062","","000")</f>
        <v>999-50689-0062</v>
      </c>
      <c r="C903" s="2" t="str">
        <f xml:space="preserve"> _xll.EPMOlapMemberO("[BRAND].[].[ MERIT]",""," MERIT","","000")</f>
        <v xml:space="preserve"> MERIT</v>
      </c>
      <c r="D903" s="2" t="str">
        <f xml:space="preserve"> _xll.EPMOlapMemberO("[AM2MARKETDESCR].[].[ITALY ESTIC]","","ITALY ESTIC","","000")</f>
        <v>ITALY ESTIC</v>
      </c>
      <c r="E903" s="2" t="str">
        <f xml:space="preserve"> _xll.EPMOlapMemberO("[AM2PARENTCUSTGROUP].[].[Mondelez]","","Mondelez","","000")</f>
        <v>Mondelez</v>
      </c>
      <c r="F903" s="2" t="str">
        <f xml:space="preserve"> _xll.EPMOlapMemberO("[KEY_FIGURES].[].[AM2ACTUALSHIPMENTS]","","Shipments","","000")</f>
        <v>Shipments</v>
      </c>
      <c r="AA903" s="2">
        <v>1560</v>
      </c>
      <c r="AE903" s="2">
        <v>1080</v>
      </c>
      <c r="AI903" s="2">
        <v>570</v>
      </c>
    </row>
    <row r="904" spans="1:38" x14ac:dyDescent="0.35">
      <c r="A904" s="2" t="str">
        <f xml:space="preserve"> _xll.EPMOlapMemberO("[LOCID].[].[Hamburg plant]","","Hamburg plant","","000")</f>
        <v>Hamburg plant</v>
      </c>
      <c r="B904" s="2" t="str">
        <f xml:space="preserve"> _xll.EPMOlapMemberO("[PRDID].[].[999-50689-0063]","","999-50689-0063","","000")</f>
        <v>999-50689-0063</v>
      </c>
      <c r="C904" s="2" t="str">
        <f xml:space="preserve"> _xll.EPMOlapMemberO("[BRAND].[].[ MERIT]",""," MERIT","","000")</f>
        <v xml:space="preserve"> MERIT</v>
      </c>
      <c r="D904" s="2" t="str">
        <f xml:space="preserve"> _xll.EPMOlapMemberO("[AM2MARKETDESCR].[].[ITALY ESTIC]","","ITALY ESTIC","","000")</f>
        <v>ITALY ESTIC</v>
      </c>
      <c r="E904" s="2" t="str">
        <f xml:space="preserve"> _xll.EPMOlapMemberO("[AM2PARENTCUSTGROUP].[].[Mondelez]","","Mondelez","","000")</f>
        <v>Mondelez</v>
      </c>
      <c r="F904" s="2" t="str">
        <f xml:space="preserve"> _xll.EPMOlapMemberO("[KEY_FIGURES].[].[AM2ORDERINTAKE]","","Sales Order","","000")</f>
        <v>Sales Order</v>
      </c>
      <c r="AA904" s="2">
        <v>1824</v>
      </c>
      <c r="AB904" s="2">
        <v>3264</v>
      </c>
      <c r="AC904" s="2">
        <v>2208</v>
      </c>
      <c r="AF904" s="2">
        <v>2688</v>
      </c>
      <c r="AH904" s="2">
        <v>3840</v>
      </c>
      <c r="AI904" s="2">
        <v>2400</v>
      </c>
      <c r="AK904" s="2">
        <v>120</v>
      </c>
    </row>
    <row r="905" spans="1:38" x14ac:dyDescent="0.35">
      <c r="A905" s="2" t="str">
        <f xml:space="preserve"> _xll.EPMOlapMemberO("[LOCID].[].[Hamburg plant]","","Hamburg plant","","000")</f>
        <v>Hamburg plant</v>
      </c>
      <c r="B905" s="2" t="str">
        <f xml:space="preserve"> _xll.EPMOlapMemberO("[PRDID].[].[999-50689-0063]","","999-50689-0063","","000")</f>
        <v>999-50689-0063</v>
      </c>
      <c r="C905" s="2" t="str">
        <f xml:space="preserve"> _xll.EPMOlapMemberO("[BRAND].[].[ MERIT]",""," MERIT","","000")</f>
        <v xml:space="preserve"> MERIT</v>
      </c>
      <c r="D905" s="2" t="str">
        <f xml:space="preserve"> _xll.EPMOlapMemberO("[AM2MARKETDESCR].[].[ITALY ESTIC]","","ITALY ESTIC","","000")</f>
        <v>ITALY ESTIC</v>
      </c>
      <c r="E905" s="2" t="str">
        <f xml:space="preserve"> _xll.EPMOlapMemberO("[AM2PARENTCUSTGROUP].[].[Mondelez]","","Mondelez","","000")</f>
        <v>Mondelez</v>
      </c>
      <c r="F905" s="2" t="str">
        <f xml:space="preserve"> _xll.EPMOlapMemberO("[KEY_FIGURES].[].[AM2ACTUALSHIPMENTS]","","Shipments","","000")</f>
        <v>Shipments</v>
      </c>
      <c r="AA905" s="2">
        <v>1632</v>
      </c>
      <c r="AB905" s="2">
        <v>576</v>
      </c>
      <c r="AC905" s="2">
        <v>3936</v>
      </c>
      <c r="AE905" s="2">
        <v>1104</v>
      </c>
      <c r="AF905" s="2">
        <v>2688</v>
      </c>
      <c r="AH905" s="2">
        <v>3768</v>
      </c>
      <c r="AI905" s="2">
        <v>2400</v>
      </c>
      <c r="AK905" s="2">
        <v>120</v>
      </c>
    </row>
    <row r="906" spans="1:38" x14ac:dyDescent="0.35">
      <c r="A906" s="2" t="str">
        <f xml:space="preserve"> _xll.EPMOlapMemberO("[LOCID].[].[Hamburg plant]","","Hamburg plant","","000")</f>
        <v>Hamburg plant</v>
      </c>
      <c r="B906" s="2" t="str">
        <f xml:space="preserve"> _xll.EPMOlapMemberO("[PRDID].[].[999-50689-0064]","","999-50689-0064","","000")</f>
        <v>999-50689-0064</v>
      </c>
      <c r="C906" s="2" t="str">
        <f xml:space="preserve"> _xll.EPMOlapMemberO("[BRAND].[].[ MERIT]",""," MERIT","","000")</f>
        <v xml:space="preserve"> MERIT</v>
      </c>
      <c r="D906" s="2" t="str">
        <f xml:space="preserve"> _xll.EPMOlapMemberO("[AM2MARKETDESCR].[].[ITALY ESTIC]","","ITALY ESTIC","","000")</f>
        <v>ITALY ESTIC</v>
      </c>
      <c r="E906" s="2" t="str">
        <f xml:space="preserve"> _xll.EPMOlapMemberO("[AM2PARENTCUSTGROUP].[].[Mondelez]","","Mondelez","","000")</f>
        <v>Mondelez</v>
      </c>
      <c r="F906" s="2" t="str">
        <f xml:space="preserve"> _xll.EPMOlapMemberO("[KEY_FIGURES].[].[AM2ORDERINTAKE]","","Sales Order","","000")</f>
        <v>Sales Order</v>
      </c>
      <c r="AA906" s="2">
        <v>3251.25</v>
      </c>
      <c r="AC906" s="2">
        <v>3307.5</v>
      </c>
      <c r="AF906" s="2">
        <v>2205</v>
      </c>
      <c r="AH906" s="2">
        <v>1102.5</v>
      </c>
      <c r="AI906" s="2">
        <v>1676.25</v>
      </c>
      <c r="AK906" s="2">
        <v>1215</v>
      </c>
      <c r="AL906" s="2">
        <v>382.5</v>
      </c>
    </row>
    <row r="907" spans="1:38" x14ac:dyDescent="0.35">
      <c r="A907" s="2" t="str">
        <f xml:space="preserve"> _xll.EPMOlapMemberO("[LOCID].[].[Hamburg plant]","","Hamburg plant","","000")</f>
        <v>Hamburg plant</v>
      </c>
      <c r="B907" s="2" t="str">
        <f xml:space="preserve"> _xll.EPMOlapMemberO("[PRDID].[].[999-50689-0064]","","999-50689-0064","","000")</f>
        <v>999-50689-0064</v>
      </c>
      <c r="C907" s="2" t="str">
        <f xml:space="preserve"> _xll.EPMOlapMemberO("[BRAND].[].[ MERIT]",""," MERIT","","000")</f>
        <v xml:space="preserve"> MERIT</v>
      </c>
      <c r="D907" s="2" t="str">
        <f xml:space="preserve"> _xll.EPMOlapMemberO("[AM2MARKETDESCR].[].[ITALY ESTIC]","","ITALY ESTIC","","000")</f>
        <v>ITALY ESTIC</v>
      </c>
      <c r="E907" s="2" t="str">
        <f xml:space="preserve"> _xll.EPMOlapMemberO("[AM2PARENTCUSTGROUP].[].[Mondelez]","","Mondelez","","000")</f>
        <v>Mondelez</v>
      </c>
      <c r="F907" s="2" t="str">
        <f xml:space="preserve"> _xll.EPMOlapMemberO("[KEY_FIGURES].[].[AM2ACTUALSHIPMENTS]","","Shipments","","000")</f>
        <v>Shipments</v>
      </c>
      <c r="AA907" s="2">
        <v>3251.25</v>
      </c>
      <c r="AC907" s="2">
        <v>2047.5</v>
      </c>
      <c r="AF907" s="2">
        <v>3465</v>
      </c>
      <c r="AI907" s="2">
        <v>1102.5</v>
      </c>
      <c r="AJ907" s="2">
        <v>1676.25</v>
      </c>
      <c r="AK907" s="2">
        <v>1215</v>
      </c>
      <c r="AL907" s="2">
        <v>382.5</v>
      </c>
    </row>
    <row r="908" spans="1:38" x14ac:dyDescent="0.35">
      <c r="A908" s="2" t="str">
        <f xml:space="preserve"> _xll.EPMOlapMemberO("[LOCID].[].[Hamburg plant]","","Hamburg plant","","000")</f>
        <v>Hamburg plant</v>
      </c>
      <c r="B908" s="2" t="str">
        <f xml:space="preserve"> _xll.EPMOlapMemberO("[PRDID].[].[999-50689-0065]","","999-50689-0065","","000")</f>
        <v>999-50689-0065</v>
      </c>
      <c r="C908" s="2" t="str">
        <f xml:space="preserve"> _xll.EPMOlapMemberO("[BRAND].[].[ MERIT]",""," MERIT","","000")</f>
        <v xml:space="preserve"> MERIT</v>
      </c>
      <c r="D908" s="2" t="str">
        <f xml:space="preserve"> _xll.EPMOlapMemberO("[AM2MARKETDESCR].[].[ITALY ESTIC]","","ITALY ESTIC","","000")</f>
        <v>ITALY ESTIC</v>
      </c>
      <c r="E908" s="2" t="str">
        <f xml:space="preserve"> _xll.EPMOlapMemberO("[AM2PARENTCUSTGROUP].[].[Mondelez]","","Mondelez","","000")</f>
        <v>Mondelez</v>
      </c>
      <c r="F908" s="2" t="str">
        <f xml:space="preserve"> _xll.EPMOlapMemberO("[KEY_FIGURES].[].[AM2ORDERINTAKE]","","Sales Order","","000")</f>
        <v>Sales Order</v>
      </c>
      <c r="Z908" s="2">
        <v>8400</v>
      </c>
      <c r="AA908" s="2">
        <v>6360</v>
      </c>
      <c r="AB908" s="2">
        <v>6720</v>
      </c>
      <c r="AC908" s="2">
        <v>6960</v>
      </c>
      <c r="AD908" s="2">
        <v>7120</v>
      </c>
      <c r="AE908" s="2">
        <v>5280</v>
      </c>
      <c r="AF908" s="2">
        <v>14400</v>
      </c>
      <c r="AG908" s="2">
        <v>4440</v>
      </c>
      <c r="AH908" s="2">
        <v>7920</v>
      </c>
      <c r="AJ908" s="2">
        <v>5760</v>
      </c>
      <c r="AK908" s="2">
        <v>3210</v>
      </c>
    </row>
    <row r="909" spans="1:38" x14ac:dyDescent="0.35">
      <c r="A909" s="2" t="str">
        <f xml:space="preserve"> _xll.EPMOlapMemberO("[LOCID].[].[Hamburg plant]","","Hamburg plant","","000")</f>
        <v>Hamburg plant</v>
      </c>
      <c r="B909" s="2" t="str">
        <f xml:space="preserve"> _xll.EPMOlapMemberO("[PRDID].[].[999-50689-0065]","","999-50689-0065","","000")</f>
        <v>999-50689-0065</v>
      </c>
      <c r="C909" s="2" t="str">
        <f xml:space="preserve"> _xll.EPMOlapMemberO("[BRAND].[].[ MERIT]",""," MERIT","","000")</f>
        <v xml:space="preserve"> MERIT</v>
      </c>
      <c r="D909" s="2" t="str">
        <f xml:space="preserve"> _xll.EPMOlapMemberO("[AM2MARKETDESCR].[].[ITALY ESTIC]","","ITALY ESTIC","","000")</f>
        <v>ITALY ESTIC</v>
      </c>
      <c r="E909" s="2" t="str">
        <f xml:space="preserve"> _xll.EPMOlapMemberO("[AM2PARENTCUSTGROUP].[].[Mondelez]","","Mondelez","","000")</f>
        <v>Mondelez</v>
      </c>
      <c r="F909" s="2" t="str">
        <f xml:space="preserve"> _xll.EPMOlapMemberO("[KEY_FIGURES].[].[AM2ACTUALSHIPMENTS]","","Shipments","","000")</f>
        <v>Shipments</v>
      </c>
      <c r="O909" s="2">
        <v>407.67123500000002</v>
      </c>
      <c r="P909" s="2">
        <v>368.21917999999999</v>
      </c>
      <c r="Q909" s="2">
        <v>407.67123400000003</v>
      </c>
      <c r="R909" s="2">
        <v>394.52054700000002</v>
      </c>
      <c r="S909" s="2">
        <v>407.67123199999997</v>
      </c>
      <c r="T909" s="2">
        <v>394.52055000000001</v>
      </c>
      <c r="U909" s="2">
        <v>407.67123500000002</v>
      </c>
      <c r="V909" s="2">
        <v>407.67123500000002</v>
      </c>
      <c r="W909" s="2">
        <v>394.52054600000002</v>
      </c>
      <c r="X909" s="2">
        <v>407.67123099999998</v>
      </c>
      <c r="Z909" s="2">
        <v>4800</v>
      </c>
      <c r="AA909" s="2">
        <v>7520</v>
      </c>
      <c r="AB909" s="2">
        <v>5520</v>
      </c>
      <c r="AC909" s="2">
        <v>10560</v>
      </c>
      <c r="AD909" s="2">
        <v>4720</v>
      </c>
      <c r="AF909" s="2">
        <v>15600</v>
      </c>
      <c r="AG909" s="2">
        <v>7200</v>
      </c>
      <c r="AH909" s="2">
        <v>11830</v>
      </c>
      <c r="AJ909" s="2">
        <v>5760</v>
      </c>
      <c r="AK909" s="2">
        <v>3210</v>
      </c>
    </row>
    <row r="910" spans="1:38" x14ac:dyDescent="0.35">
      <c r="A910" s="2" t="str">
        <f xml:space="preserve"> _xll.EPMOlapMemberO("[LOCID].[].[Hamburg plant]","","Hamburg plant","","000")</f>
        <v>Hamburg plant</v>
      </c>
      <c r="B910" s="2" t="str">
        <f xml:space="preserve"> _xll.EPMOlapMemberO("[PRDID].[].[999-50689-0066]","","999-50689-0066","","000")</f>
        <v>999-50689-0066</v>
      </c>
      <c r="C910" s="2" t="str">
        <f xml:space="preserve"> _xll.EPMOlapMemberO("[BRAND].[].[ MERIT]",""," MERIT","","000")</f>
        <v xml:space="preserve"> MERIT</v>
      </c>
      <c r="D910" s="2" t="str">
        <f xml:space="preserve"> _xll.EPMOlapMemberO("[AM2MARKETDESCR].[].[ITALY ESTIC]","","ITALY ESTIC","","000")</f>
        <v>ITALY ESTIC</v>
      </c>
      <c r="E910" s="2" t="str">
        <f xml:space="preserve"> _xll.EPMOlapMemberO("[AM2PARENTCUSTGROUP].[].[Mondelez]","","Mondelez","","000")</f>
        <v>Mondelez</v>
      </c>
      <c r="F910" s="2" t="str">
        <f xml:space="preserve"> _xll.EPMOlapMemberO("[KEY_FIGURES].[].[AM2ORDERINTAKE]","","Sales Order","","000")</f>
        <v>Sales Order</v>
      </c>
      <c r="AA910" s="2">
        <v>1440</v>
      </c>
      <c r="AF910" s="2">
        <v>720</v>
      </c>
    </row>
    <row r="911" spans="1:38" x14ac:dyDescent="0.35">
      <c r="A911" s="2" t="str">
        <f xml:space="preserve"> _xll.EPMOlapMemberO("[LOCID].[].[Hamburg plant]","","Hamburg plant","","000")</f>
        <v>Hamburg plant</v>
      </c>
      <c r="B911" s="2" t="str">
        <f xml:space="preserve"> _xll.EPMOlapMemberO("[PRDID].[].[999-50689-0066]","","999-50689-0066","","000")</f>
        <v>999-50689-0066</v>
      </c>
      <c r="C911" s="2" t="str">
        <f xml:space="preserve"> _xll.EPMOlapMemberO("[BRAND].[].[ MERIT]",""," MERIT","","000")</f>
        <v xml:space="preserve"> MERIT</v>
      </c>
      <c r="D911" s="2" t="str">
        <f xml:space="preserve"> _xll.EPMOlapMemberO("[AM2MARKETDESCR].[].[ITALY ESTIC]","","ITALY ESTIC","","000")</f>
        <v>ITALY ESTIC</v>
      </c>
      <c r="E911" s="2" t="str">
        <f xml:space="preserve"> _xll.EPMOlapMemberO("[AM2PARENTCUSTGROUP].[].[Mondelez]","","Mondelez","","000")</f>
        <v>Mondelez</v>
      </c>
      <c r="F911" s="2" t="str">
        <f xml:space="preserve"> _xll.EPMOlapMemberO("[KEY_FIGURES].[].[AM2ACTUALSHIPMENTS]","","Shipments","","000")</f>
        <v>Shipments</v>
      </c>
      <c r="AB911" s="2">
        <v>1440</v>
      </c>
      <c r="AF911" s="2">
        <v>720</v>
      </c>
    </row>
    <row r="912" spans="1:38" x14ac:dyDescent="0.35">
      <c r="A912" s="2" t="str">
        <f xml:space="preserve"> _xll.EPMOlapMemberO("[LOCID].[].[Hamburg plant]","","Hamburg plant","","000")</f>
        <v>Hamburg plant</v>
      </c>
      <c r="B912" s="2" t="str">
        <f xml:space="preserve"> _xll.EPMOlapMemberO("[PRDID].[].[999-50689-0067]","","999-50689-0067","","000")</f>
        <v>999-50689-0067</v>
      </c>
      <c r="C912" s="2" t="str">
        <f xml:space="preserve"> _xll.EPMOlapMemberO("[BRAND].[].[ MERIT]",""," MERIT","","000")</f>
        <v xml:space="preserve"> MERIT</v>
      </c>
      <c r="D912" s="2" t="str">
        <f xml:space="preserve"> _xll.EPMOlapMemberO("[AM2MARKETDESCR].[].[ITALY ESTIC]","","ITALY ESTIC","","000")</f>
        <v>ITALY ESTIC</v>
      </c>
      <c r="E912" s="2" t="str">
        <f xml:space="preserve"> _xll.EPMOlapMemberO("[AM2PARENTCUSTGROUP].[].[Mondelez]","","Mondelez","","000")</f>
        <v>Mondelez</v>
      </c>
      <c r="F912" s="2" t="str">
        <f xml:space="preserve"> _xll.EPMOlapMemberO("[KEY_FIGURES].[].[AM2ORDERINTAKE]","","Sales Order","","000")</f>
        <v>Sales Order</v>
      </c>
      <c r="AE912" s="2">
        <v>2560</v>
      </c>
    </row>
    <row r="913" spans="1:51" x14ac:dyDescent="0.35">
      <c r="A913" s="2" t="str">
        <f xml:space="preserve"> _xll.EPMOlapMemberO("[LOCID].[].[Hamburg plant]","","Hamburg plant","","000")</f>
        <v>Hamburg plant</v>
      </c>
      <c r="B913" s="2" t="str">
        <f xml:space="preserve"> _xll.EPMOlapMemberO("[PRDID].[].[999-50689-0067]","","999-50689-0067","","000")</f>
        <v>999-50689-0067</v>
      </c>
      <c r="C913" s="2" t="str">
        <f xml:space="preserve"> _xll.EPMOlapMemberO("[BRAND].[].[ MERIT]",""," MERIT","","000")</f>
        <v xml:space="preserve"> MERIT</v>
      </c>
      <c r="D913" s="2" t="str">
        <f xml:space="preserve"> _xll.EPMOlapMemberO("[AM2MARKETDESCR].[].[ITALY ESTIC]","","ITALY ESTIC","","000")</f>
        <v>ITALY ESTIC</v>
      </c>
      <c r="E913" s="2" t="str">
        <f xml:space="preserve"> _xll.EPMOlapMemberO("[AM2PARENTCUSTGROUP].[].[Mondelez]","","Mondelez","","000")</f>
        <v>Mondelez</v>
      </c>
      <c r="F913" s="2" t="str">
        <f xml:space="preserve"> _xll.EPMOlapMemberO("[KEY_FIGURES].[].[AM2ACTUALSHIPMENTS]","","Shipments","","000")</f>
        <v>Shipments</v>
      </c>
      <c r="AE913" s="2">
        <v>2560</v>
      </c>
    </row>
    <row r="914" spans="1:51" x14ac:dyDescent="0.35">
      <c r="A914" s="2" t="str">
        <f xml:space="preserve"> _xll.EPMOlapMemberO("[LOCID].[].[Hamburg plant]","","Hamburg plant","","000")</f>
        <v>Hamburg plant</v>
      </c>
      <c r="B914" s="2" t="str">
        <f xml:space="preserve"> _xll.EPMOlapMemberO("[PRDID].[].[999-50689-0068]","","999-50689-0068","","000")</f>
        <v>999-50689-0068</v>
      </c>
      <c r="C914" s="2" t="str">
        <f xml:space="preserve"> _xll.EPMOlapMemberO("[BRAND].[].[ MERIT]",""," MERIT","","000")</f>
        <v xml:space="preserve"> MERIT</v>
      </c>
      <c r="D914" s="2" t="str">
        <f xml:space="preserve"> _xll.EPMOlapMemberO("[AM2MARKETDESCR].[].[ITALY ESTIC]","","ITALY ESTIC","","000")</f>
        <v>ITALY ESTIC</v>
      </c>
      <c r="E914" s="2" t="str">
        <f xml:space="preserve"> _xll.EPMOlapMemberO("[AM2PARENTCUSTGROUP].[].[Mondelez]","","Mondelez","","000")</f>
        <v>Mondelez</v>
      </c>
      <c r="F914" s="2" t="str">
        <f xml:space="preserve"> _xll.EPMOlapMemberO("[KEY_FIGURES].[].[AM2ORDERINTAKE]","","Sales Order","","000")</f>
        <v>Sales Order</v>
      </c>
      <c r="AE914" s="2">
        <v>3400</v>
      </c>
      <c r="AG914" s="2">
        <v>120</v>
      </c>
    </row>
    <row r="915" spans="1:51" x14ac:dyDescent="0.35">
      <c r="A915" s="2" t="str">
        <f xml:space="preserve"> _xll.EPMOlapMemberO("[LOCID].[].[Hamburg plant]","","Hamburg plant","","000")</f>
        <v>Hamburg plant</v>
      </c>
      <c r="B915" s="2" t="str">
        <f xml:space="preserve"> _xll.EPMOlapMemberO("[PRDID].[].[999-50689-0068]","","999-50689-0068","","000")</f>
        <v>999-50689-0068</v>
      </c>
      <c r="C915" s="2" t="str">
        <f xml:space="preserve"> _xll.EPMOlapMemberO("[BRAND].[].[ MERIT]",""," MERIT","","000")</f>
        <v xml:space="preserve"> MERIT</v>
      </c>
      <c r="D915" s="2" t="str">
        <f xml:space="preserve"> _xll.EPMOlapMemberO("[AM2MARKETDESCR].[].[ITALY ESTIC]","","ITALY ESTIC","","000")</f>
        <v>ITALY ESTIC</v>
      </c>
      <c r="E915" s="2" t="str">
        <f xml:space="preserve"> _xll.EPMOlapMemberO("[AM2PARENTCUSTGROUP].[].[Mondelez]","","Mondelez","","000")</f>
        <v>Mondelez</v>
      </c>
      <c r="F915" s="2" t="str">
        <f xml:space="preserve"> _xll.EPMOlapMemberO("[KEY_FIGURES].[].[AM2ACTUALSHIPMENTS]","","Shipments","","000")</f>
        <v>Shipments</v>
      </c>
      <c r="AE915" s="2">
        <v>3400</v>
      </c>
      <c r="AG915" s="2">
        <v>110</v>
      </c>
    </row>
    <row r="916" spans="1:51" x14ac:dyDescent="0.35">
      <c r="A916" s="2" t="str">
        <f xml:space="preserve"> _xll.EPMOlapMemberO("[LOCID].[].[Hamburg plant]","","Hamburg plant","","000")</f>
        <v>Hamburg plant</v>
      </c>
      <c r="B916" s="2" t="str">
        <f xml:space="preserve"> _xll.EPMOlapMemberO("[PRDID].[].[999-50689-0071]","","999-50689-0071","","000")</f>
        <v>999-50689-0071</v>
      </c>
      <c r="C916" s="2" t="str">
        <f xml:space="preserve"> _xll.EPMOlapMemberO("[BRAND].[].[ MERIT]",""," MERIT","","000")</f>
        <v xml:space="preserve"> MERIT</v>
      </c>
      <c r="D916" s="2" t="str">
        <f xml:space="preserve"> _xll.EPMOlapMemberO("[AM2MARKETDESCR].[].[ITALY ESTIC]","","ITALY ESTIC","","000")</f>
        <v>ITALY ESTIC</v>
      </c>
      <c r="E916" s="2" t="str">
        <f xml:space="preserve"> _xll.EPMOlapMemberO("[AM2PARENTCUSTGROUP].[].[Mondelez]","","Mondelez","","000")</f>
        <v>Mondelez</v>
      </c>
      <c r="F916" s="2" t="str">
        <f xml:space="preserve"> _xll.EPMOlapMemberO("[KEY_FIGURES].[].[AM2ORDERINTAKE]","","Sales Order","","000")</f>
        <v>Sales Order</v>
      </c>
      <c r="AL916" s="2">
        <v>3456</v>
      </c>
      <c r="AO916" s="2">
        <v>3512</v>
      </c>
    </row>
    <row r="917" spans="1:51" x14ac:dyDescent="0.35">
      <c r="A917" s="2" t="str">
        <f xml:space="preserve"> _xll.EPMOlapMemberO("[LOCID].[].[Hamburg plant]","","Hamburg plant","","000")</f>
        <v>Hamburg plant</v>
      </c>
      <c r="B917" s="2" t="str">
        <f xml:space="preserve"> _xll.EPMOlapMemberO("[PRDID].[].[999-50689-0071]","","999-50689-0071","","000")</f>
        <v>999-50689-0071</v>
      </c>
      <c r="C917" s="2" t="str">
        <f xml:space="preserve"> _xll.EPMOlapMemberO("[BRAND].[].[ MERIT]",""," MERIT","","000")</f>
        <v xml:space="preserve"> MERIT</v>
      </c>
      <c r="D917" s="2" t="str">
        <f xml:space="preserve"> _xll.EPMOlapMemberO("[AM2MARKETDESCR].[].[ITALY ESTIC]","","ITALY ESTIC","","000")</f>
        <v>ITALY ESTIC</v>
      </c>
      <c r="E917" s="2" t="str">
        <f xml:space="preserve"> _xll.EPMOlapMemberO("[AM2PARENTCUSTGROUP].[].[Mondelez]","","Mondelez","","000")</f>
        <v>Mondelez</v>
      </c>
      <c r="F917" s="2" t="str">
        <f xml:space="preserve"> _xll.EPMOlapMemberO("[KEY_FIGURES].[].[AM2ACTUALSHIPMENTS]","","Shipments","","000")</f>
        <v>Shipments</v>
      </c>
      <c r="AL917" s="2">
        <v>3456</v>
      </c>
      <c r="AO917" s="2">
        <v>3512</v>
      </c>
    </row>
    <row r="918" spans="1:51" x14ac:dyDescent="0.35">
      <c r="A918" s="2" t="str">
        <f xml:space="preserve"> _xll.EPMOlapMemberO("[LOCID].[].[Hamburg plant]","","Hamburg plant","","000")</f>
        <v>Hamburg plant</v>
      </c>
      <c r="B918" s="2" t="str">
        <f xml:space="preserve"> _xll.EPMOlapMemberO("[PRDID].[].[999-50689-0072]","","999-50689-0072","","000")</f>
        <v>999-50689-0072</v>
      </c>
      <c r="C918" s="2" t="str">
        <f xml:space="preserve"> _xll.EPMOlapMemberO("[BRAND].[].[ MERIT]",""," MERIT","","000")</f>
        <v xml:space="preserve"> MERIT</v>
      </c>
      <c r="D918" s="2" t="str">
        <f xml:space="preserve"> _xll.EPMOlapMemberO("[AM2MARKETDESCR].[].[ITALY ESTIC]","","ITALY ESTIC","","000")</f>
        <v>ITALY ESTIC</v>
      </c>
      <c r="E918" s="2" t="str">
        <f xml:space="preserve"> _xll.EPMOlapMemberO("[AM2PARENTCUSTGROUP].[].[__NULL]","","(None)","","000")</f>
        <v>(None)</v>
      </c>
      <c r="F918" s="2" t="str">
        <f xml:space="preserve"> _xll.EPMOlapMemberO("[KEY_FIGURES].[].[CONFIRMEDPRODUCTION]","","Production Order","","000")</f>
        <v>Production Order</v>
      </c>
      <c r="AS918" s="2">
        <v>340</v>
      </c>
      <c r="AU918" s="2">
        <v>720</v>
      </c>
    </row>
    <row r="919" spans="1:51" x14ac:dyDescent="0.35">
      <c r="A919" s="2" t="str">
        <f xml:space="preserve"> _xll.EPMOlapMemberO("[LOCID].[].[Hamburg plant]","","Hamburg plant","","000")</f>
        <v>Hamburg plant</v>
      </c>
      <c r="B919" s="2" t="str">
        <f xml:space="preserve"> _xll.EPMOlapMemberO("[PRDID].[].[999-50689-0072]","","999-50689-0072","","000")</f>
        <v>999-50689-0072</v>
      </c>
      <c r="C919" s="2" t="str">
        <f xml:space="preserve"> _xll.EPMOlapMemberO("[BRAND].[].[ MERIT]",""," MERIT","","000")</f>
        <v xml:space="preserve"> MERIT</v>
      </c>
      <c r="D919" s="2" t="str">
        <f xml:space="preserve"> _xll.EPMOlapMemberO("[AM2MARKETDESCR].[].[ITALY ESTIC]","","ITALY ESTIC","","000")</f>
        <v>ITALY ESTIC</v>
      </c>
      <c r="E919" s="2" t="str">
        <f xml:space="preserve"> _xll.EPMOlapMemberO("[AM2PARENTCUSTGROUP].[].[Mondelez]","","Mondelez","","000")</f>
        <v>Mondelez</v>
      </c>
      <c r="F919" s="2" t="str">
        <f xml:space="preserve"> _xll.EPMOlapMemberO("[KEY_FIGURES].[].[AM2ORDERINTAKE]","","Sales Order","","000")</f>
        <v>Sales Order</v>
      </c>
      <c r="AL919" s="2">
        <v>1200</v>
      </c>
    </row>
    <row r="920" spans="1:51" x14ac:dyDescent="0.35">
      <c r="A920" s="2" t="str">
        <f xml:space="preserve"> _xll.EPMOlapMemberO("[LOCID].[].[Hamburg plant]","","Hamburg plant","","000")</f>
        <v>Hamburg plant</v>
      </c>
      <c r="B920" s="2" t="str">
        <f xml:space="preserve"> _xll.EPMOlapMemberO("[PRDID].[].[999-50689-0072]","","999-50689-0072","","000")</f>
        <v>999-50689-0072</v>
      </c>
      <c r="C920" s="2" t="str">
        <f xml:space="preserve"> _xll.EPMOlapMemberO("[BRAND].[].[ MERIT]",""," MERIT","","000")</f>
        <v xml:space="preserve"> MERIT</v>
      </c>
      <c r="D920" s="2" t="str">
        <f xml:space="preserve"> _xll.EPMOlapMemberO("[AM2MARKETDESCR].[].[ITALY ESTIC]","","ITALY ESTIC","","000")</f>
        <v>ITALY ESTIC</v>
      </c>
      <c r="E920" s="2" t="str">
        <f xml:space="preserve"> _xll.EPMOlapMemberO("[AM2PARENTCUSTGROUP].[].[Mondelez]","","Mondelez","","000")</f>
        <v>Mondelez</v>
      </c>
      <c r="F920" s="2" t="str">
        <f xml:space="preserve"> _xll.EPMOlapMemberO("[KEY_FIGURES].[].[AM2ACTUALSHIPMENTS]","","Shipments","","000")</f>
        <v>Shipments</v>
      </c>
      <c r="AL920" s="2">
        <v>1200</v>
      </c>
    </row>
    <row r="921" spans="1:51" x14ac:dyDescent="0.35">
      <c r="A921" s="2" t="str">
        <f xml:space="preserve"> _xll.EPMOlapMemberO("[LOCID].[].[Hamburg plant]","","Hamburg plant","","000")</f>
        <v>Hamburg plant</v>
      </c>
      <c r="B921" s="2" t="str">
        <f xml:space="preserve"> _xll.EPMOlapMemberO("[PRDID].[].[999-50689-0073]","","999-50689-0073","","000")</f>
        <v>999-50689-0073</v>
      </c>
      <c r="C921" s="2" t="str">
        <f xml:space="preserve"> _xll.EPMOlapMemberO("[BRAND].[].[ MERIT]",""," MERIT","","000")</f>
        <v xml:space="preserve"> MERIT</v>
      </c>
      <c r="D921" s="2" t="str">
        <f xml:space="preserve"> _xll.EPMOlapMemberO("[AM2MARKETDESCR].[].[ITALY ESTIC]","","ITALY ESTIC","","000")</f>
        <v>ITALY ESTIC</v>
      </c>
      <c r="E921" s="2" t="str">
        <f xml:space="preserve"> _xll.EPMOlapMemberO("[AM2PARENTCUSTGROUP].[].[__NULL]","","(None)","","000")</f>
        <v>(None)</v>
      </c>
      <c r="F921" s="2" t="str">
        <f xml:space="preserve"> _xll.EPMOlapMemberO("[KEY_FIGURES].[].[CONFIRMEDPRODUCTION]","","Production Order","","000")</f>
        <v>Production Order</v>
      </c>
      <c r="AS921" s="2">
        <v>600</v>
      </c>
    </row>
    <row r="922" spans="1:51" x14ac:dyDescent="0.35">
      <c r="A922" s="2" t="str">
        <f xml:space="preserve"> _xll.EPMOlapMemberO("[LOCID].[].[Hamburg plant]","","Hamburg plant","","000")</f>
        <v>Hamburg plant</v>
      </c>
      <c r="B922" s="2" t="str">
        <f xml:space="preserve"> _xll.EPMOlapMemberO("[PRDID].[].[999-50689-0073]","","999-50689-0073","","000")</f>
        <v>999-50689-0073</v>
      </c>
      <c r="C922" s="2" t="str">
        <f xml:space="preserve"> _xll.EPMOlapMemberO("[BRAND].[].[ MERIT]",""," MERIT","","000")</f>
        <v xml:space="preserve"> MERIT</v>
      </c>
      <c r="D922" s="2" t="str">
        <f xml:space="preserve"> _xll.EPMOlapMemberO("[AM2MARKETDESCR].[].[ITALY ESTIC]","","ITALY ESTIC","","000")</f>
        <v>ITALY ESTIC</v>
      </c>
      <c r="E922" s="2" t="str">
        <f xml:space="preserve"> _xll.EPMOlapMemberO("[AM2PARENTCUSTGROUP].[].[Mondelez]","","Mondelez","","000")</f>
        <v>Mondelez</v>
      </c>
      <c r="F922" s="2" t="str">
        <f xml:space="preserve"> _xll.EPMOlapMemberO("[KEY_FIGURES].[].[AM2ORDERINTAKE]","","Sales Order","","000")</f>
        <v>Sales Order</v>
      </c>
      <c r="AL922" s="2">
        <v>1800</v>
      </c>
    </row>
    <row r="923" spans="1:51" x14ac:dyDescent="0.35">
      <c r="A923" s="2" t="str">
        <f xml:space="preserve"> _xll.EPMOlapMemberO("[LOCID].[].[Hamburg plant]","","Hamburg plant","","000")</f>
        <v>Hamburg plant</v>
      </c>
      <c r="B923" s="2" t="str">
        <f xml:space="preserve"> _xll.EPMOlapMemberO("[PRDID].[].[999-50689-0073]","","999-50689-0073","","000")</f>
        <v>999-50689-0073</v>
      </c>
      <c r="C923" s="2" t="str">
        <f xml:space="preserve"> _xll.EPMOlapMemberO("[BRAND].[].[ MERIT]",""," MERIT","","000")</f>
        <v xml:space="preserve"> MERIT</v>
      </c>
      <c r="D923" s="2" t="str">
        <f xml:space="preserve"> _xll.EPMOlapMemberO("[AM2MARKETDESCR].[].[ITALY ESTIC]","","ITALY ESTIC","","000")</f>
        <v>ITALY ESTIC</v>
      </c>
      <c r="E923" s="2" t="str">
        <f xml:space="preserve"> _xll.EPMOlapMemberO("[AM2PARENTCUSTGROUP].[].[Mondelez]","","Mondelez","","000")</f>
        <v>Mondelez</v>
      </c>
      <c r="F923" s="2" t="str">
        <f xml:space="preserve"> _xll.EPMOlapMemberO("[KEY_FIGURES].[].[AM2ACTUALSHIPMENTS]","","Shipments","","000")</f>
        <v>Shipments</v>
      </c>
      <c r="AL923" s="2">
        <v>1800</v>
      </c>
    </row>
    <row r="924" spans="1:51" x14ac:dyDescent="0.35">
      <c r="A924" s="2" t="str">
        <f xml:space="preserve"> _xll.EPMOlapMemberO("[LOCID].[].[Hamburg plant]","","Hamburg plant","","000")</f>
        <v>Hamburg plant</v>
      </c>
      <c r="B924" s="2" t="str">
        <f xml:space="preserve"> _xll.EPMOlapMemberO("[PRDID].[].[999-50689-0074]","","999-50689-0074","","000")</f>
        <v>999-50689-0074</v>
      </c>
      <c r="C924" s="2" t="str">
        <f xml:space="preserve"> _xll.EPMOlapMemberO("[BRAND].[].[ MERIT]",""," MERIT","","000")</f>
        <v xml:space="preserve"> MERIT</v>
      </c>
      <c r="D924" s="2" t="str">
        <f xml:space="preserve"> _xll.EPMOlapMemberO("[AM2MARKETDESCR].[].[ITALY ESTIC]","","ITALY ESTIC","","000")</f>
        <v>ITALY ESTIC</v>
      </c>
      <c r="E924" s="2" t="str">
        <f xml:space="preserve"> _xll.EPMOlapMemberO("[AM2PARENTCUSTGROUP].[].[__NULL]","","(None)","","000")</f>
        <v>(None)</v>
      </c>
      <c r="F924" s="2" t="str">
        <f xml:space="preserve"> _xll.EPMOlapMemberO("[KEY_FIGURES].[].[CONFIRMEDPRODUCTION]","","Production Order","","000")</f>
        <v>Production Order</v>
      </c>
      <c r="AU924" s="2">
        <v>9450</v>
      </c>
      <c r="AW924" s="2">
        <v>7200</v>
      </c>
      <c r="AY924" s="2">
        <v>8400</v>
      </c>
    </row>
    <row r="925" spans="1:51" x14ac:dyDescent="0.35">
      <c r="A925" s="2" t="str">
        <f xml:space="preserve"> _xll.EPMOlapMemberO("[LOCID].[].[Hamburg plant]","","Hamburg plant","","000")</f>
        <v>Hamburg plant</v>
      </c>
      <c r="B925" s="2" t="str">
        <f xml:space="preserve"> _xll.EPMOlapMemberO("[PRDID].[].[999-50689-0074]","","999-50689-0074","","000")</f>
        <v>999-50689-0074</v>
      </c>
      <c r="C925" s="2" t="str">
        <f xml:space="preserve"> _xll.EPMOlapMemberO("[BRAND].[].[ MERIT]",""," MERIT","","000")</f>
        <v xml:space="preserve"> MERIT</v>
      </c>
      <c r="D925" s="2" t="str">
        <f xml:space="preserve"> _xll.EPMOlapMemberO("[AM2MARKETDESCR].[].[ITALY ESTIC]","","ITALY ESTIC","","000")</f>
        <v>ITALY ESTIC</v>
      </c>
      <c r="E925" s="2" t="str">
        <f xml:space="preserve"> _xll.EPMOlapMemberO("[AM2PARENTCUSTGROUP].[].[Mondelez]","","Mondelez","","000")</f>
        <v>Mondelez</v>
      </c>
      <c r="F925" s="2" t="str">
        <f xml:space="preserve"> _xll.EPMOlapMemberO("[KEY_FIGURES].[].[AM2ORDERINTAKE]","","Sales Order","","000")</f>
        <v>Sales Order</v>
      </c>
      <c r="AL925" s="2">
        <v>6240</v>
      </c>
      <c r="AM925" s="2">
        <v>1660</v>
      </c>
      <c r="AO925" s="2">
        <v>9450</v>
      </c>
      <c r="AP925" s="2">
        <v>3750</v>
      </c>
      <c r="AR925" s="2">
        <v>7350</v>
      </c>
    </row>
    <row r="926" spans="1:51" x14ac:dyDescent="0.35">
      <c r="A926" s="2" t="str">
        <f xml:space="preserve"> _xll.EPMOlapMemberO("[LOCID].[].[Hamburg plant]","","Hamburg plant","","000")</f>
        <v>Hamburg plant</v>
      </c>
      <c r="B926" s="2" t="str">
        <f xml:space="preserve"> _xll.EPMOlapMemberO("[PRDID].[].[999-50689-0074]","","999-50689-0074","","000")</f>
        <v>999-50689-0074</v>
      </c>
      <c r="C926" s="2" t="str">
        <f xml:space="preserve"> _xll.EPMOlapMemberO("[BRAND].[].[ MERIT]",""," MERIT","","000")</f>
        <v xml:space="preserve"> MERIT</v>
      </c>
      <c r="D926" s="2" t="str">
        <f xml:space="preserve"> _xll.EPMOlapMemberO("[AM2MARKETDESCR].[].[ITALY ESTIC]","","ITALY ESTIC","","000")</f>
        <v>ITALY ESTIC</v>
      </c>
      <c r="E926" s="2" t="str">
        <f xml:space="preserve"> _xll.EPMOlapMemberO("[AM2PARENTCUSTGROUP].[].[Mondelez]","","Mondelez","","000")</f>
        <v>Mondelez</v>
      </c>
      <c r="F926" s="2" t="str">
        <f xml:space="preserve"> _xll.EPMOlapMemberO("[KEY_FIGURES].[].[AM2ACTUALSHIPMENTS]","","Shipments","","000")</f>
        <v>Shipments</v>
      </c>
      <c r="AL926" s="2">
        <v>4440</v>
      </c>
      <c r="AM926" s="2">
        <v>1650</v>
      </c>
      <c r="AN926" s="2">
        <v>1800</v>
      </c>
      <c r="AO926" s="2">
        <v>7800</v>
      </c>
      <c r="AP926" s="2">
        <v>5325</v>
      </c>
    </row>
    <row r="927" spans="1:51" x14ac:dyDescent="0.35">
      <c r="A927" s="2" t="str">
        <f xml:space="preserve"> _xll.EPMOlapMemberO("[LOCID].[].[Hamburg plant]","","Hamburg plant","","000")</f>
        <v>Hamburg plant</v>
      </c>
      <c r="B927" s="2" t="str">
        <f xml:space="preserve"> _xll.EPMOlapMemberO("[PRDID].[].[999-50689-0075]","","999-50689-0075","","000")</f>
        <v>999-50689-0075</v>
      </c>
      <c r="C927" s="2" t="str">
        <f xml:space="preserve"> _xll.EPMOlapMemberO("[BRAND].[].[ MERIT]",""," MERIT","","000")</f>
        <v xml:space="preserve"> MERIT</v>
      </c>
      <c r="D927" s="2" t="str">
        <f xml:space="preserve"> _xll.EPMOlapMemberO("[AM2MARKETDESCR].[].[ITALY ESTIC]","","ITALY ESTIC","","000")</f>
        <v>ITALY ESTIC</v>
      </c>
      <c r="E927" s="2" t="str">
        <f xml:space="preserve"> _xll.EPMOlapMemberO("[AM2PARENTCUSTGROUP].[].[Mondelez]","","Mondelez","","000")</f>
        <v>Mondelez</v>
      </c>
      <c r="F927" s="2" t="str">
        <f xml:space="preserve"> _xll.EPMOlapMemberO("[KEY_FIGURES].[].[AM2ORDERINTAKE]","","Sales Order","","000")</f>
        <v>Sales Order</v>
      </c>
      <c r="AM927" s="2">
        <v>704</v>
      </c>
      <c r="AO927" s="2">
        <v>576</v>
      </c>
    </row>
    <row r="928" spans="1:51" x14ac:dyDescent="0.35">
      <c r="A928" s="2" t="str">
        <f xml:space="preserve"> _xll.EPMOlapMemberO("[LOCID].[].[Hamburg plant]","","Hamburg plant","","000")</f>
        <v>Hamburg plant</v>
      </c>
      <c r="B928" s="2" t="str">
        <f xml:space="preserve"> _xll.EPMOlapMemberO("[PRDID].[].[999-50689-0075]","","999-50689-0075","","000")</f>
        <v>999-50689-0075</v>
      </c>
      <c r="C928" s="2" t="str">
        <f xml:space="preserve"> _xll.EPMOlapMemberO("[BRAND].[].[ MERIT]",""," MERIT","","000")</f>
        <v xml:space="preserve"> MERIT</v>
      </c>
      <c r="D928" s="2" t="str">
        <f xml:space="preserve"> _xll.EPMOlapMemberO("[AM2MARKETDESCR].[].[ITALY ESTIC]","","ITALY ESTIC","","000")</f>
        <v>ITALY ESTIC</v>
      </c>
      <c r="E928" s="2" t="str">
        <f xml:space="preserve"> _xll.EPMOlapMemberO("[AM2PARENTCUSTGROUP].[].[Mondelez]","","Mondelez","","000")</f>
        <v>Mondelez</v>
      </c>
      <c r="F928" s="2" t="str">
        <f xml:space="preserve"> _xll.EPMOlapMemberO("[KEY_FIGURES].[].[AM2ACTUALSHIPMENTS]","","Shipments","","000")</f>
        <v>Shipments</v>
      </c>
      <c r="AM928" s="2">
        <v>704</v>
      </c>
      <c r="AO928" s="2">
        <v>576</v>
      </c>
    </row>
    <row r="929" spans="1:51" x14ac:dyDescent="0.35">
      <c r="A929" s="2" t="str">
        <f xml:space="preserve"> _xll.EPMOlapMemberO("[LOCID].[].[Hamburg plant]","","Hamburg plant","","000")</f>
        <v>Hamburg plant</v>
      </c>
      <c r="B929" s="2" t="str">
        <f xml:space="preserve"> _xll.EPMOlapMemberO("[PRDID].[].[999-50689-0076]","","999-50689-0076","","000")</f>
        <v>999-50689-0076</v>
      </c>
      <c r="C929" s="2" t="str">
        <f xml:space="preserve"> _xll.EPMOlapMemberO("[BRAND].[].[ MERIT]",""," MERIT","","000")</f>
        <v xml:space="preserve"> MERIT</v>
      </c>
      <c r="D929" s="2" t="str">
        <f xml:space="preserve"> _xll.EPMOlapMemberO("[AM2MARKETDESCR].[].[ITALY ESTIC]","","ITALY ESTIC","","000")</f>
        <v>ITALY ESTIC</v>
      </c>
      <c r="E929" s="2" t="str">
        <f xml:space="preserve"> _xll.EPMOlapMemberO("[AM2PARENTCUSTGROUP].[].[__NULL]","","(None)","","000")</f>
        <v>(None)</v>
      </c>
      <c r="F929" s="2" t="str">
        <f xml:space="preserve"> _xll.EPMOlapMemberO("[KEY_FIGURES].[].[CONFIRMEDPRODUCTION]","","Production Order","","000")</f>
        <v>Production Order</v>
      </c>
      <c r="AQ929" s="2">
        <v>506.25</v>
      </c>
      <c r="AR929" s="2">
        <v>4185</v>
      </c>
      <c r="AV929" s="2">
        <v>2880</v>
      </c>
      <c r="AY929" s="2">
        <v>1653.75</v>
      </c>
    </row>
    <row r="930" spans="1:51" x14ac:dyDescent="0.35">
      <c r="A930" s="2" t="str">
        <f xml:space="preserve"> _xll.EPMOlapMemberO("[LOCID].[].[Hamburg plant]","","Hamburg plant","","000")</f>
        <v>Hamburg plant</v>
      </c>
      <c r="B930" s="2" t="str">
        <f xml:space="preserve"> _xll.EPMOlapMemberO("[PRDID].[].[999-50689-0076]","","999-50689-0076","","000")</f>
        <v>999-50689-0076</v>
      </c>
      <c r="C930" s="2" t="str">
        <f xml:space="preserve"> _xll.EPMOlapMemberO("[BRAND].[].[ MERIT]",""," MERIT","","000")</f>
        <v xml:space="preserve"> MERIT</v>
      </c>
      <c r="D930" s="2" t="str">
        <f xml:space="preserve"> _xll.EPMOlapMemberO("[AM2MARKETDESCR].[].[ITALY ESTIC]","","ITALY ESTIC","","000")</f>
        <v>ITALY ESTIC</v>
      </c>
      <c r="E930" s="2" t="str">
        <f xml:space="preserve"> _xll.EPMOlapMemberO("[AM2PARENTCUSTGROUP].[].[Mondelez]","","Mondelez","","000")</f>
        <v>Mondelez</v>
      </c>
      <c r="F930" s="2" t="str">
        <f xml:space="preserve"> _xll.EPMOlapMemberO("[KEY_FIGURES].[].[AM2ORDERINTAKE]","","Sales Order","","000")</f>
        <v>Sales Order</v>
      </c>
      <c r="AM930" s="2">
        <v>3780</v>
      </c>
      <c r="AP930" s="2">
        <v>1642.5</v>
      </c>
      <c r="AR930" s="2">
        <v>4691.25</v>
      </c>
    </row>
    <row r="931" spans="1:51" x14ac:dyDescent="0.35">
      <c r="A931" s="2" t="str">
        <f xml:space="preserve"> _xll.EPMOlapMemberO("[LOCID].[].[Hamburg plant]","","Hamburg plant","","000")</f>
        <v>Hamburg plant</v>
      </c>
      <c r="B931" s="2" t="str">
        <f xml:space="preserve"> _xll.EPMOlapMemberO("[PRDID].[].[999-50689-0076]","","999-50689-0076","","000")</f>
        <v>999-50689-0076</v>
      </c>
      <c r="C931" s="2" t="str">
        <f xml:space="preserve"> _xll.EPMOlapMemberO("[BRAND].[].[ MERIT]",""," MERIT","","000")</f>
        <v xml:space="preserve"> MERIT</v>
      </c>
      <c r="D931" s="2" t="str">
        <f xml:space="preserve"> _xll.EPMOlapMemberO("[AM2MARKETDESCR].[].[ITALY ESTIC]","","ITALY ESTIC","","000")</f>
        <v>ITALY ESTIC</v>
      </c>
      <c r="E931" s="2" t="str">
        <f xml:space="preserve"> _xll.EPMOlapMemberO("[AM2PARENTCUSTGROUP].[].[Mondelez]","","Mondelez","","000")</f>
        <v>Mondelez</v>
      </c>
      <c r="F931" s="2" t="str">
        <f xml:space="preserve"> _xll.EPMOlapMemberO("[KEY_FIGURES].[].[AM2ACTUALSHIPMENTS]","","Shipments","","000")</f>
        <v>Shipments</v>
      </c>
      <c r="AM931" s="2">
        <v>3780</v>
      </c>
      <c r="AP931" s="2">
        <v>1597.5</v>
      </c>
    </row>
    <row r="932" spans="1:51" x14ac:dyDescent="0.35">
      <c r="A932" s="2" t="str">
        <f xml:space="preserve"> _xll.EPMOlapMemberO("[LOCID].[].[Hamburg plant]","","Hamburg plant","","000")</f>
        <v>Hamburg plant</v>
      </c>
      <c r="B932" s="2" t="str">
        <f xml:space="preserve"> _xll.EPMOlapMemberO("[PRDID].[].[999-50689-0077]","","999-50689-0077","","000")</f>
        <v>999-50689-0077</v>
      </c>
      <c r="C932" s="2" t="str">
        <f xml:space="preserve"> _xll.EPMOlapMemberO("[BRAND].[].[ MERIT]",""," MERIT","","000")</f>
        <v xml:space="preserve"> MERIT</v>
      </c>
      <c r="D932" s="2" t="str">
        <f xml:space="preserve"> _xll.EPMOlapMemberO("[AM2MARKETDESCR].[].[ITALY ESTIC]","","ITALY ESTIC","","000")</f>
        <v>ITALY ESTIC</v>
      </c>
      <c r="E932" s="2" t="str">
        <f xml:space="preserve"> _xll.EPMOlapMemberO("[AM2PARENTCUSTGROUP].[].[Mondelez]","","Mondelez","","000")</f>
        <v>Mondelez</v>
      </c>
      <c r="F932" s="2" t="str">
        <f xml:space="preserve"> _xll.EPMOlapMemberO("[KEY_FIGURES].[].[AM2ORDERINTAKE]","","Sales Order","","000")</f>
        <v>Sales Order</v>
      </c>
      <c r="AM932" s="2">
        <v>4680</v>
      </c>
    </row>
    <row r="933" spans="1:51" x14ac:dyDescent="0.35">
      <c r="A933" s="2" t="str">
        <f xml:space="preserve"> _xll.EPMOlapMemberO("[LOCID].[].[Hamburg plant]","","Hamburg plant","","000")</f>
        <v>Hamburg plant</v>
      </c>
      <c r="B933" s="2" t="str">
        <f xml:space="preserve"> _xll.EPMOlapMemberO("[PRDID].[].[999-50689-0077]","","999-50689-0077","","000")</f>
        <v>999-50689-0077</v>
      </c>
      <c r="C933" s="2" t="str">
        <f xml:space="preserve"> _xll.EPMOlapMemberO("[BRAND].[].[ MERIT]",""," MERIT","","000")</f>
        <v xml:space="preserve"> MERIT</v>
      </c>
      <c r="D933" s="2" t="str">
        <f xml:space="preserve"> _xll.EPMOlapMemberO("[AM2MARKETDESCR].[].[ITALY ESTIC]","","ITALY ESTIC","","000")</f>
        <v>ITALY ESTIC</v>
      </c>
      <c r="E933" s="2" t="str">
        <f xml:space="preserve"> _xll.EPMOlapMemberO("[AM2PARENTCUSTGROUP].[].[Mondelez]","","Mondelez","","000")</f>
        <v>Mondelez</v>
      </c>
      <c r="F933" s="2" t="str">
        <f xml:space="preserve"> _xll.EPMOlapMemberO("[KEY_FIGURES].[].[AM2ACTUALSHIPMENTS]","","Shipments","","000")</f>
        <v>Shipments</v>
      </c>
      <c r="AM933" s="2">
        <v>4680</v>
      </c>
    </row>
    <row r="934" spans="1:51" x14ac:dyDescent="0.35">
      <c r="A934" s="2" t="str">
        <f xml:space="preserve"> _xll.EPMOlapMemberO("[LOCID].[].[Hamburg plant]","","Hamburg plant","","000")</f>
        <v>Hamburg plant</v>
      </c>
      <c r="B934" s="2" t="str">
        <f xml:space="preserve"> _xll.EPMOlapMemberO("[PRDID].[].[999-50689-0079]","","999-50689-0079","","000")</f>
        <v>999-50689-0079</v>
      </c>
      <c r="C934" s="2" t="str">
        <f xml:space="preserve"> _xll.EPMOlapMemberO("[BRAND].[].[ MERIT]",""," MERIT","","000")</f>
        <v xml:space="preserve"> MERIT</v>
      </c>
      <c r="D934" s="2" t="str">
        <f xml:space="preserve"> _xll.EPMOlapMemberO("[AM2MARKETDESCR].[].[ITALY ESTIC]","","ITALY ESTIC","","000")</f>
        <v>ITALY ESTIC</v>
      </c>
      <c r="E934" s="2" t="str">
        <f xml:space="preserve"> _xll.EPMOlapMemberO("[AM2PARENTCUSTGROUP].[].[__NULL]","","(None)","","000")</f>
        <v>(None)</v>
      </c>
      <c r="F934" s="2" t="str">
        <f xml:space="preserve"> _xll.EPMOlapMemberO("[KEY_FIGURES].[].[CONFIRMEDPRODUCTION]","","Production Order","","000")</f>
        <v>Production Order</v>
      </c>
      <c r="AR934" s="2">
        <v>543</v>
      </c>
    </row>
    <row r="935" spans="1:51" x14ac:dyDescent="0.35">
      <c r="A935" s="2" t="str">
        <f xml:space="preserve"> _xll.EPMOlapMemberO("[LOCID].[].[Hamburg plant]","","Hamburg plant","","000")</f>
        <v>Hamburg plant</v>
      </c>
      <c r="B935" s="2" t="str">
        <f xml:space="preserve"> _xll.EPMOlapMemberO("[PRDID].[].[999-50689-0079]","","999-50689-0079","","000")</f>
        <v>999-50689-0079</v>
      </c>
      <c r="C935" s="2" t="str">
        <f xml:space="preserve"> _xll.EPMOlapMemberO("[BRAND].[].[ MERIT]",""," MERIT","","000")</f>
        <v xml:space="preserve"> MERIT</v>
      </c>
      <c r="D935" s="2" t="str">
        <f xml:space="preserve"> _xll.EPMOlapMemberO("[AM2MARKETDESCR].[].[ITALY ESTIC]","","ITALY ESTIC","","000")</f>
        <v>ITALY ESTIC</v>
      </c>
      <c r="E935" s="2" t="str">
        <f xml:space="preserve"> _xll.EPMOlapMemberO("[AM2PARENTCUSTGROUP].[].[Mondelez]","","Mondelez","","000")</f>
        <v>Mondelez</v>
      </c>
      <c r="F935" s="2" t="str">
        <f xml:space="preserve"> _xll.EPMOlapMemberO("[KEY_FIGURES].[].[AM2ORDERINTAKE]","","Sales Order","","000")</f>
        <v>Sales Order</v>
      </c>
      <c r="AQ935" s="2">
        <v>6750</v>
      </c>
      <c r="AR935" s="2">
        <v>500</v>
      </c>
    </row>
    <row r="936" spans="1:51" x14ac:dyDescent="0.35">
      <c r="A936" s="2" t="str">
        <f xml:space="preserve"> _xll.EPMOlapMemberO("[LOCID].[].[Hamburg plant]","","Hamburg plant","","000")</f>
        <v>Hamburg plant</v>
      </c>
      <c r="B936" s="2" t="str">
        <f xml:space="preserve"> _xll.EPMOlapMemberO("[PRDID].[].[999-50689-0079]","","999-50689-0079","","000")</f>
        <v>999-50689-0079</v>
      </c>
      <c r="C936" s="2" t="str">
        <f xml:space="preserve"> _xll.EPMOlapMemberO("[BRAND].[].[ MERIT]",""," MERIT","","000")</f>
        <v xml:space="preserve"> MERIT</v>
      </c>
      <c r="D936" s="2" t="str">
        <f xml:space="preserve"> _xll.EPMOlapMemberO("[AM2MARKETDESCR].[].[ITALY ESTIC]","","ITALY ESTIC","","000")</f>
        <v>ITALY ESTIC</v>
      </c>
      <c r="E936" s="2" t="str">
        <f xml:space="preserve"> _xll.EPMOlapMemberO("[AM2PARENTCUSTGROUP].[].[Mondelez]","","Mondelez","","000")</f>
        <v>Mondelez</v>
      </c>
      <c r="F936" s="2" t="str">
        <f xml:space="preserve"> _xll.EPMOlapMemberO("[KEY_FIGURES].[].[AM2ACTUALSHIPMENTS]","","Shipments","","000")</f>
        <v>Shipments</v>
      </c>
      <c r="AQ936" s="2">
        <v>6725</v>
      </c>
    </row>
    <row r="937" spans="1:51" x14ac:dyDescent="0.35">
      <c r="A937" s="2" t="str">
        <f xml:space="preserve"> _xll.EPMOlapMemberO("[LOCID].[].[Hamburg plant]","","Hamburg plant","","000")</f>
        <v>Hamburg plant</v>
      </c>
      <c r="B937" s="2" t="str">
        <f xml:space="preserve"> _xll.EPMOlapMemberO("[PRDID].[].[999-50698-0040]","","999-50698-0040","","000")</f>
        <v>999-50698-0040</v>
      </c>
      <c r="C937" s="2" t="str">
        <f xml:space="preserve"> _xll.EPMOlapMemberO("[BRAND].[].[ MULTIFILTER]",""," MULTIFILTER","","000")</f>
        <v xml:space="preserve"> MULTIFILTER</v>
      </c>
      <c r="D937" s="2" t="str">
        <f xml:space="preserve"> _xll.EPMOlapMemberO("[AM2MARKETDESCR].[].[HUNGARY ESTIC]","","HUNGARY ESTIC","","000")</f>
        <v>HUNGARY ESTIC</v>
      </c>
      <c r="E937" s="2" t="str">
        <f xml:space="preserve"> _xll.EPMOlapMemberO("[AM2PARENTCUSTGROUP].[].[Mondelez]","","Mondelez","","000")</f>
        <v>Mondelez</v>
      </c>
      <c r="F937" s="2" t="str">
        <f xml:space="preserve"> _xll.EPMOlapMemberO("[KEY_FIGURES].[].[AM2ORDERINTAKE]","","Sales Order","","000")</f>
        <v>Sales Order</v>
      </c>
      <c r="I937" s="2">
        <v>1200</v>
      </c>
      <c r="L937" s="2">
        <v>125</v>
      </c>
    </row>
    <row r="938" spans="1:51" x14ac:dyDescent="0.35">
      <c r="A938" s="2" t="str">
        <f xml:space="preserve"> _xll.EPMOlapMemberO("[LOCID].[].[Hamburg plant]","","Hamburg plant","","000")</f>
        <v>Hamburg plant</v>
      </c>
      <c r="B938" s="2" t="str">
        <f xml:space="preserve"> _xll.EPMOlapMemberO("[PRDID].[].[999-50698-0040]","","999-50698-0040","","000")</f>
        <v>999-50698-0040</v>
      </c>
      <c r="C938" s="2" t="str">
        <f xml:space="preserve"> _xll.EPMOlapMemberO("[BRAND].[].[ MULTIFILTER]",""," MULTIFILTER","","000")</f>
        <v xml:space="preserve"> MULTIFILTER</v>
      </c>
      <c r="D938" s="2" t="str">
        <f xml:space="preserve"> _xll.EPMOlapMemberO("[AM2MARKETDESCR].[].[HUNGARY ESTIC]","","HUNGARY ESTIC","","000")</f>
        <v>HUNGARY ESTIC</v>
      </c>
      <c r="E938" s="2" t="str">
        <f xml:space="preserve"> _xll.EPMOlapMemberO("[AM2PARENTCUSTGROUP].[].[Mondelez]","","Mondelez","","000")</f>
        <v>Mondelez</v>
      </c>
      <c r="F938" s="2" t="str">
        <f xml:space="preserve"> _xll.EPMOlapMemberO("[KEY_FIGURES].[].[AM2ACTUALSHIPMENTS]","","Shipments","","000")</f>
        <v>Shipments</v>
      </c>
      <c r="H938" s="2">
        <v>1200</v>
      </c>
      <c r="L938" s="2">
        <v>125</v>
      </c>
    </row>
    <row r="939" spans="1:51" x14ac:dyDescent="0.35">
      <c r="A939" s="2" t="str">
        <f xml:space="preserve"> _xll.EPMOlapMemberO("[LOCID].[].[Hamburg plant]","","Hamburg plant","","000")</f>
        <v>Hamburg plant</v>
      </c>
      <c r="B939" s="2" t="str">
        <f xml:space="preserve"> _xll.EPMOlapMemberO("[PRDID].[].[999-50698-0041]","","999-50698-0041","","000")</f>
        <v>999-50698-0041</v>
      </c>
      <c r="C939" s="2" t="str">
        <f xml:space="preserve"> _xll.EPMOlapMemberO("[BRAND].[].[ MULTIFILTER]",""," MULTIFILTER","","000")</f>
        <v xml:space="preserve"> MULTIFILTER</v>
      </c>
      <c r="D939" s="2" t="str">
        <f xml:space="preserve"> _xll.EPMOlapMemberO("[AM2MARKETDESCR].[].[HUNGARY ESTIC]","","HUNGARY ESTIC","","000")</f>
        <v>HUNGARY ESTIC</v>
      </c>
      <c r="E939" s="2" t="str">
        <f xml:space="preserve"> _xll.EPMOlapMemberO("[AM2PARENTCUSTGROUP].[].[Mondelez]","","Mondelez","","000")</f>
        <v>Mondelez</v>
      </c>
      <c r="F939" s="2" t="str">
        <f xml:space="preserve"> _xll.EPMOlapMemberO("[KEY_FIGURES].[].[AM2ORDERINTAKE]","","Sales Order","","000")</f>
        <v>Sales Order</v>
      </c>
      <c r="G939" s="2">
        <v>1500</v>
      </c>
      <c r="I939" s="2">
        <v>4350</v>
      </c>
      <c r="L939" s="2">
        <v>1850</v>
      </c>
    </row>
    <row r="940" spans="1:51" x14ac:dyDescent="0.35">
      <c r="A940" s="2" t="str">
        <f xml:space="preserve"> _xll.EPMOlapMemberO("[LOCID].[].[Hamburg plant]","","Hamburg plant","","000")</f>
        <v>Hamburg plant</v>
      </c>
      <c r="B940" s="2" t="str">
        <f xml:space="preserve"> _xll.EPMOlapMemberO("[PRDID].[].[999-50698-0041]","","999-50698-0041","","000")</f>
        <v>999-50698-0041</v>
      </c>
      <c r="C940" s="2" t="str">
        <f xml:space="preserve"> _xll.EPMOlapMemberO("[BRAND].[].[ MULTIFILTER]",""," MULTIFILTER","","000")</f>
        <v xml:space="preserve"> MULTIFILTER</v>
      </c>
      <c r="D940" s="2" t="str">
        <f xml:space="preserve"> _xll.EPMOlapMemberO("[AM2MARKETDESCR].[].[HUNGARY ESTIC]","","HUNGARY ESTIC","","000")</f>
        <v>HUNGARY ESTIC</v>
      </c>
      <c r="E940" s="2" t="str">
        <f xml:space="preserve"> _xll.EPMOlapMemberO("[AM2PARENTCUSTGROUP].[].[Mondelez]","","Mondelez","","000")</f>
        <v>Mondelez</v>
      </c>
      <c r="F940" s="2" t="str">
        <f xml:space="preserve"> _xll.EPMOlapMemberO("[KEY_FIGURES].[].[AM2ACTUALSHIPMENTS]","","Shipments","","000")</f>
        <v>Shipments</v>
      </c>
      <c r="G940" s="2">
        <v>450</v>
      </c>
      <c r="H940" s="2">
        <v>1050</v>
      </c>
      <c r="I940" s="2">
        <v>2400</v>
      </c>
      <c r="J940" s="2">
        <v>1950</v>
      </c>
      <c r="L940" s="2">
        <v>1800</v>
      </c>
    </row>
    <row r="941" spans="1:51" x14ac:dyDescent="0.35">
      <c r="A941" s="2" t="str">
        <f xml:space="preserve"> _xll.EPMOlapMemberO("[LOCID].[].[Hamburg plant]","","Hamburg plant","","000")</f>
        <v>Hamburg plant</v>
      </c>
      <c r="B941" s="2" t="str">
        <f xml:space="preserve"> _xll.EPMOlapMemberO("[PRDID].[].[999-50698-0043]","","999-50698-0043","","000")</f>
        <v>999-50698-0043</v>
      </c>
      <c r="C941" s="2" t="str">
        <f xml:space="preserve"> _xll.EPMOlapMemberO("[BRAND].[].[ MULTIFILTER]",""," MULTIFILTER","","000")</f>
        <v xml:space="preserve"> MULTIFILTER</v>
      </c>
      <c r="D941" s="2" t="str">
        <f xml:space="preserve"> _xll.EPMOlapMemberO("[AM2MARKETDESCR].[].[HUNGARY ESTIC]","","HUNGARY ESTIC","","000")</f>
        <v>HUNGARY ESTIC</v>
      </c>
      <c r="E941" s="2" t="str">
        <f xml:space="preserve"> _xll.EPMOlapMemberO("[AM2PARENTCUSTGROUP].[].[Mondelez]","","Mondelez","","000")</f>
        <v>Mondelez</v>
      </c>
      <c r="F941" s="2" t="str">
        <f xml:space="preserve"> _xll.EPMOlapMemberO("[KEY_FIGURES].[].[AM2ORDERINTAKE]","","Sales Order","","000")</f>
        <v>Sales Order</v>
      </c>
      <c r="I941" s="2">
        <v>1237.5</v>
      </c>
      <c r="L941" s="2">
        <v>50</v>
      </c>
    </row>
    <row r="942" spans="1:51" x14ac:dyDescent="0.35">
      <c r="A942" s="2" t="str">
        <f xml:space="preserve"> _xll.EPMOlapMemberO("[LOCID].[].[Hamburg plant]","","Hamburg plant","","000")</f>
        <v>Hamburg plant</v>
      </c>
      <c r="B942" s="2" t="str">
        <f xml:space="preserve"> _xll.EPMOlapMemberO("[PRDID].[].[999-50698-0043]","","999-50698-0043","","000")</f>
        <v>999-50698-0043</v>
      </c>
      <c r="C942" s="2" t="str">
        <f xml:space="preserve"> _xll.EPMOlapMemberO("[BRAND].[].[ MULTIFILTER]",""," MULTIFILTER","","000")</f>
        <v xml:space="preserve"> MULTIFILTER</v>
      </c>
      <c r="D942" s="2" t="str">
        <f xml:space="preserve"> _xll.EPMOlapMemberO("[AM2MARKETDESCR].[].[HUNGARY ESTIC]","","HUNGARY ESTIC","","000")</f>
        <v>HUNGARY ESTIC</v>
      </c>
      <c r="E942" s="2" t="str">
        <f xml:space="preserve"> _xll.EPMOlapMemberO("[AM2PARENTCUSTGROUP].[].[Mondelez]","","Mondelez","","000")</f>
        <v>Mondelez</v>
      </c>
      <c r="F942" s="2" t="str">
        <f xml:space="preserve"> _xll.EPMOlapMemberO("[KEY_FIGURES].[].[AM2ACTUALSHIPMENTS]","","Shipments","","000")</f>
        <v>Shipments</v>
      </c>
      <c r="I942" s="2">
        <v>1200</v>
      </c>
      <c r="L942" s="2">
        <v>50</v>
      </c>
    </row>
    <row r="943" spans="1:51" x14ac:dyDescent="0.35">
      <c r="A943" s="2" t="str">
        <f xml:space="preserve"> _xll.EPMOlapMemberO("[LOCID].[].[Hamburg plant]","","Hamburg plant","","000")</f>
        <v>Hamburg plant</v>
      </c>
      <c r="B943" s="2" t="str">
        <f xml:space="preserve"> _xll.EPMOlapMemberO("[PRDID].[].[999-50698-0048]","","999-50698-0048","","000")</f>
        <v>999-50698-0048</v>
      </c>
      <c r="C943" s="2" t="str">
        <f xml:space="preserve"> _xll.EPMOlapMemberO("[BRAND].[].[ MULTIFILTER]",""," MULTIFILTER","","000")</f>
        <v xml:space="preserve"> MULTIFILTER</v>
      </c>
      <c r="D943" s="2" t="str">
        <f xml:space="preserve"> _xll.EPMOlapMemberO("[AM2MARKETDESCR].[].[HUNGARY ESTIC]","","HUNGARY ESTIC","","000")</f>
        <v>HUNGARY ESTIC</v>
      </c>
      <c r="E943" s="2" t="str">
        <f xml:space="preserve"> _xll.EPMOlapMemberO("[AM2PARENTCUSTGROUP].[].[Mondelez]","","Mondelez","","000")</f>
        <v>Mondelez</v>
      </c>
      <c r="F943" s="2" t="str">
        <f xml:space="preserve"> _xll.EPMOlapMemberO("[KEY_FIGURES].[].[AM2ORDERINTAKE]","","Sales Order","","000")</f>
        <v>Sales Order</v>
      </c>
      <c r="K943" s="2">
        <v>712.5</v>
      </c>
    </row>
    <row r="944" spans="1:51" x14ac:dyDescent="0.35">
      <c r="A944" s="2" t="str">
        <f xml:space="preserve"> _xll.EPMOlapMemberO("[LOCID].[].[Hamburg plant]","","Hamburg plant","","000")</f>
        <v>Hamburg plant</v>
      </c>
      <c r="B944" s="2" t="str">
        <f xml:space="preserve"> _xll.EPMOlapMemberO("[PRDID].[].[999-50698-0048]","","999-50698-0048","","000")</f>
        <v>999-50698-0048</v>
      </c>
      <c r="C944" s="2" t="str">
        <f xml:space="preserve"> _xll.EPMOlapMemberO("[BRAND].[].[ MULTIFILTER]",""," MULTIFILTER","","000")</f>
        <v xml:space="preserve"> MULTIFILTER</v>
      </c>
      <c r="D944" s="2" t="str">
        <f xml:space="preserve"> _xll.EPMOlapMemberO("[AM2MARKETDESCR].[].[HUNGARY ESTIC]","","HUNGARY ESTIC","","000")</f>
        <v>HUNGARY ESTIC</v>
      </c>
      <c r="E944" s="2" t="str">
        <f xml:space="preserve"> _xll.EPMOlapMemberO("[AM2PARENTCUSTGROUP].[].[Mondelez]","","Mondelez","","000")</f>
        <v>Mondelez</v>
      </c>
      <c r="F944" s="2" t="str">
        <f xml:space="preserve"> _xll.EPMOlapMemberO("[KEY_FIGURES].[].[AM2ACTUALSHIPMENTS]","","Shipments","","000")</f>
        <v>Shipments</v>
      </c>
      <c r="L944" s="2">
        <v>712.5</v>
      </c>
    </row>
    <row r="945" spans="1:41" x14ac:dyDescent="0.35">
      <c r="A945" s="2" t="str">
        <f xml:space="preserve"> _xll.EPMOlapMemberO("[LOCID].[].[Hamburg plant]","","Hamburg plant","","000")</f>
        <v>Hamburg plant</v>
      </c>
      <c r="B945" s="2" t="str">
        <f xml:space="preserve"> _xll.EPMOlapMemberO("[PRDID].[].[999-50698-0052]","","999-50698-0052","","000")</f>
        <v>999-50698-0052</v>
      </c>
      <c r="C945" s="2" t="str">
        <f xml:space="preserve"> _xll.EPMOlapMemberO("[BRAND].[].[ MULTIFILTER]",""," MULTIFILTER","","000")</f>
        <v xml:space="preserve"> MULTIFILTER</v>
      </c>
      <c r="D945" s="2" t="str">
        <f xml:space="preserve"> _xll.EPMOlapMemberO("[AM2MARKETDESCR].[].[HUNGARY ESTIC]","","HUNGARY ESTIC","","000")</f>
        <v>HUNGARY ESTIC</v>
      </c>
      <c r="E945" s="2" t="str">
        <f xml:space="preserve"> _xll.EPMOlapMemberO("[AM2PARENTCUSTGROUP].[].[Mondelez]","","Mondelez","","000")</f>
        <v>Mondelez</v>
      </c>
      <c r="F945" s="2" t="str">
        <f xml:space="preserve"> _xll.EPMOlapMemberO("[KEY_FIGURES].[].[AM2ORDERINTAKE]","","Sales Order","","000")</f>
        <v>Sales Order</v>
      </c>
      <c r="N945" s="2">
        <v>75</v>
      </c>
      <c r="P945" s="2">
        <v>257.14285699999999</v>
      </c>
      <c r="S945" s="2">
        <v>450</v>
      </c>
    </row>
    <row r="946" spans="1:41" x14ac:dyDescent="0.35">
      <c r="A946" s="2" t="str">
        <f xml:space="preserve"> _xll.EPMOlapMemberO("[LOCID].[].[Hamburg plant]","","Hamburg plant","","000")</f>
        <v>Hamburg plant</v>
      </c>
      <c r="B946" s="2" t="str">
        <f xml:space="preserve"> _xll.EPMOlapMemberO("[PRDID].[].[999-50698-0052]","","999-50698-0052","","000")</f>
        <v>999-50698-0052</v>
      </c>
      <c r="C946" s="2" t="str">
        <f xml:space="preserve"> _xll.EPMOlapMemberO("[BRAND].[].[ MULTIFILTER]",""," MULTIFILTER","","000")</f>
        <v xml:space="preserve"> MULTIFILTER</v>
      </c>
      <c r="D946" s="2" t="str">
        <f xml:space="preserve"> _xll.EPMOlapMemberO("[AM2MARKETDESCR].[].[HUNGARY ESTIC]","","HUNGARY ESTIC","","000")</f>
        <v>HUNGARY ESTIC</v>
      </c>
      <c r="E946" s="2" t="str">
        <f xml:space="preserve"> _xll.EPMOlapMemberO("[AM2PARENTCUSTGROUP].[].[Mondelez]","","Mondelez","","000")</f>
        <v>Mondelez</v>
      </c>
      <c r="F946" s="2" t="str">
        <f xml:space="preserve"> _xll.EPMOlapMemberO("[KEY_FIGURES].[].[AM2ACTUALSHIPMENTS]","","Shipments","","000")</f>
        <v>Shipments</v>
      </c>
      <c r="N946" s="2">
        <v>75</v>
      </c>
      <c r="P946" s="2">
        <v>600</v>
      </c>
      <c r="S946" s="2">
        <v>450</v>
      </c>
    </row>
    <row r="947" spans="1:41" x14ac:dyDescent="0.35">
      <c r="A947" s="2" t="str">
        <f xml:space="preserve"> _xll.EPMOlapMemberO("[LOCID].[].[Hamburg plant]","","Hamburg plant","","000")</f>
        <v>Hamburg plant</v>
      </c>
      <c r="B947" s="2" t="str">
        <f xml:space="preserve"> _xll.EPMOlapMemberO("[PRDID].[].[999-50698-0053]","","999-50698-0053","","000")</f>
        <v>999-50698-0053</v>
      </c>
      <c r="C947" s="2" t="str">
        <f xml:space="preserve"> _xll.EPMOlapMemberO("[BRAND].[].[ MULTIFILTER]",""," MULTIFILTER","","000")</f>
        <v xml:space="preserve"> MULTIFILTER</v>
      </c>
      <c r="D947" s="2" t="str">
        <f xml:space="preserve"> _xll.EPMOlapMemberO("[AM2MARKETDESCR].[].[HUNGARY ESTIC]","","HUNGARY ESTIC","","000")</f>
        <v>HUNGARY ESTIC</v>
      </c>
      <c r="E947" s="2" t="str">
        <f xml:space="preserve"> _xll.EPMOlapMemberO("[AM2PARENTCUSTGROUP].[].[Mondelez]","","Mondelez","","000")</f>
        <v>Mondelez</v>
      </c>
      <c r="F947" s="2" t="str">
        <f xml:space="preserve"> _xll.EPMOlapMemberO("[KEY_FIGURES].[].[AM2ORDERINTAKE]","","Sales Order","","000")</f>
        <v>Sales Order</v>
      </c>
      <c r="O947" s="2">
        <v>400</v>
      </c>
    </row>
    <row r="948" spans="1:41" x14ac:dyDescent="0.35">
      <c r="A948" s="2" t="str">
        <f xml:space="preserve"> _xll.EPMOlapMemberO("[LOCID].[].[Hamburg plant]","","Hamburg plant","","000")</f>
        <v>Hamburg plant</v>
      </c>
      <c r="B948" s="2" t="str">
        <f xml:space="preserve"> _xll.EPMOlapMemberO("[PRDID].[].[999-50698-0053]","","999-50698-0053","","000")</f>
        <v>999-50698-0053</v>
      </c>
      <c r="C948" s="2" t="str">
        <f xml:space="preserve"> _xll.EPMOlapMemberO("[BRAND].[].[ MULTIFILTER]",""," MULTIFILTER","","000")</f>
        <v xml:space="preserve"> MULTIFILTER</v>
      </c>
      <c r="D948" s="2" t="str">
        <f xml:space="preserve"> _xll.EPMOlapMemberO("[AM2MARKETDESCR].[].[HUNGARY ESTIC]","","HUNGARY ESTIC","","000")</f>
        <v>HUNGARY ESTIC</v>
      </c>
      <c r="E948" s="2" t="str">
        <f xml:space="preserve"> _xll.EPMOlapMemberO("[AM2PARENTCUSTGROUP].[].[Mondelez]","","Mondelez","","000")</f>
        <v>Mondelez</v>
      </c>
      <c r="F948" s="2" t="str">
        <f xml:space="preserve"> _xll.EPMOlapMemberO("[KEY_FIGURES].[].[AM2ACTUALSHIPMENTS]","","Shipments","","000")</f>
        <v>Shipments</v>
      </c>
      <c r="O948" s="2">
        <v>400</v>
      </c>
    </row>
    <row r="949" spans="1:41" x14ac:dyDescent="0.35">
      <c r="A949" s="2" t="str">
        <f xml:space="preserve"> _xll.EPMOlapMemberO("[LOCID].[].[Hamburg plant]","","Hamburg plant","","000")</f>
        <v>Hamburg plant</v>
      </c>
      <c r="B949" s="2" t="str">
        <f xml:space="preserve"> _xll.EPMOlapMemberO("[PRDID].[].[999-50720-0056]","","999-50720-0056","","000")</f>
        <v>999-50720-0056</v>
      </c>
      <c r="C949" s="2" t="str">
        <f xml:space="preserve"> _xll.EPMOlapMemberO("[BRAND].[].[ NEXT]",""," NEXT","","000")</f>
        <v xml:space="preserve"> NEXT</v>
      </c>
      <c r="D949" s="2" t="str">
        <f xml:space="preserve"> _xll.EPMOlapMemberO("[AM2MARKETDESCR].[].[BELGIUM ESTIC]","","BELGIUM ESTIC","","000")</f>
        <v>BELGIUM ESTIC</v>
      </c>
      <c r="E949" s="2" t="str">
        <f xml:space="preserve"> _xll.EPMOlapMemberO("[AM2PARENTCUSTGROUP].[].[Mondelez]","","Mondelez","","000")</f>
        <v>Mondelez</v>
      </c>
      <c r="F949" s="2" t="str">
        <f xml:space="preserve"> _xll.EPMOlapMemberO("[KEY_FIGURES].[].[AM2ORDERINTAKE]","","Sales Order","","000")</f>
        <v>Sales Order</v>
      </c>
      <c r="N949" s="2">
        <v>75</v>
      </c>
      <c r="O949" s="2">
        <v>212.5</v>
      </c>
      <c r="P949" s="2">
        <v>150</v>
      </c>
    </row>
    <row r="950" spans="1:41" x14ac:dyDescent="0.35">
      <c r="A950" s="2" t="str">
        <f xml:space="preserve"> _xll.EPMOlapMemberO("[LOCID].[].[Hamburg plant]","","Hamburg plant","","000")</f>
        <v>Hamburg plant</v>
      </c>
      <c r="B950" s="2" t="str">
        <f xml:space="preserve"> _xll.EPMOlapMemberO("[PRDID].[].[999-50720-0056]","","999-50720-0056","","000")</f>
        <v>999-50720-0056</v>
      </c>
      <c r="C950" s="2" t="str">
        <f xml:space="preserve"> _xll.EPMOlapMemberO("[BRAND].[].[ NEXT]",""," NEXT","","000")</f>
        <v xml:space="preserve"> NEXT</v>
      </c>
      <c r="D950" s="2" t="str">
        <f xml:space="preserve"> _xll.EPMOlapMemberO("[AM2MARKETDESCR].[].[BELGIUM ESTIC]","","BELGIUM ESTIC","","000")</f>
        <v>BELGIUM ESTIC</v>
      </c>
      <c r="E950" s="2" t="str">
        <f xml:space="preserve"> _xll.EPMOlapMemberO("[AM2PARENTCUSTGROUP].[].[Mondelez]","","Mondelez","","000")</f>
        <v>Mondelez</v>
      </c>
      <c r="F950" s="2" t="str">
        <f xml:space="preserve"> _xll.EPMOlapMemberO("[KEY_FIGURES].[].[AM2ACTUALSHIPMENTS]","","Shipments","","000")</f>
        <v>Shipments</v>
      </c>
      <c r="N950" s="2">
        <v>75</v>
      </c>
      <c r="O950" s="2">
        <v>212.5</v>
      </c>
      <c r="P950" s="2">
        <v>150</v>
      </c>
    </row>
    <row r="951" spans="1:41" x14ac:dyDescent="0.35">
      <c r="A951" s="2" t="str">
        <f xml:space="preserve"> _xll.EPMOlapMemberO("[LOCID].[].[Hamburg plant]","","Hamburg plant","","000")</f>
        <v>Hamburg plant</v>
      </c>
      <c r="B951" s="2" t="str">
        <f xml:space="preserve"> _xll.EPMOlapMemberO("[PRDID].[].[999-50729-0205]","","999-50729-0205","","000")</f>
        <v>999-50729-0205</v>
      </c>
      <c r="C951" s="2" t="str">
        <f xml:space="preserve"> _xll.EPMOlapMemberO("[BRAND].[].[ PARLIAMENT]",""," PARLIAMENT","","000")</f>
        <v xml:space="preserve"> PARLIAMENT</v>
      </c>
      <c r="D951" s="2" t="str">
        <f xml:space="preserve"> _xll.EPMOlapMemberO("[AM2MARKETDESCR].[].[POLAND ]","","POLAND ","","000")</f>
        <v xml:space="preserve">POLAND </v>
      </c>
      <c r="E951" s="2" t="str">
        <f xml:space="preserve"> _xll.EPMOlapMemberO("[AM2PARENTCUSTGROUP].[].[Mondelez]","","Mondelez","","000")</f>
        <v>Mondelez</v>
      </c>
      <c r="F951" s="2" t="str">
        <f xml:space="preserve"> _xll.EPMOlapMemberO("[KEY_FIGURES].[].[AM2ORDERINTAKE]","","Sales Order","","000")</f>
        <v>Sales Order</v>
      </c>
      <c r="H951" s="2">
        <v>1100</v>
      </c>
    </row>
    <row r="952" spans="1:41" x14ac:dyDescent="0.35">
      <c r="A952" s="2" t="str">
        <f xml:space="preserve"> _xll.EPMOlapMemberO("[LOCID].[].[Hamburg plant]","","Hamburg plant","","000")</f>
        <v>Hamburg plant</v>
      </c>
      <c r="B952" s="2" t="str">
        <f xml:space="preserve"> _xll.EPMOlapMemberO("[PRDID].[].[999-50729-0205]","","999-50729-0205","","000")</f>
        <v>999-50729-0205</v>
      </c>
      <c r="C952" s="2" t="str">
        <f xml:space="preserve"> _xll.EPMOlapMemberO("[BRAND].[].[ PARLIAMENT]",""," PARLIAMENT","","000")</f>
        <v xml:space="preserve"> PARLIAMENT</v>
      </c>
      <c r="D952" s="2" t="str">
        <f xml:space="preserve"> _xll.EPMOlapMemberO("[AM2MARKETDESCR].[].[POLAND ]","","POLAND ","","000")</f>
        <v xml:space="preserve">POLAND </v>
      </c>
      <c r="E952" s="2" t="str">
        <f xml:space="preserve"> _xll.EPMOlapMemberO("[AM2PARENTCUSTGROUP].[].[Mondelez]","","Mondelez","","000")</f>
        <v>Mondelez</v>
      </c>
      <c r="F952" s="2" t="str">
        <f xml:space="preserve"> _xll.EPMOlapMemberO("[KEY_FIGURES].[].[AM2ACTUALSHIPMENTS]","","Shipments","","000")</f>
        <v>Shipments</v>
      </c>
      <c r="H952" s="2">
        <v>1100</v>
      </c>
    </row>
    <row r="953" spans="1:41" x14ac:dyDescent="0.35">
      <c r="A953" s="2" t="str">
        <f xml:space="preserve"> _xll.EPMOlapMemberO("[LOCID].[].[Hamburg plant]","","Hamburg plant","","000")</f>
        <v>Hamburg plant</v>
      </c>
      <c r="B953" s="2" t="str">
        <f xml:space="preserve"> _xll.EPMOlapMemberO("[PRDID].[].[999-50751-0026]","","999-50751-0026","","000")</f>
        <v>999-50751-0026</v>
      </c>
      <c r="C953" s="2" t="str">
        <f xml:space="preserve"> _xll.EPMOlapMemberO("[BRAND].[].[ PORTUGUÊS SUAVE]",""," PORTUGUÊS SUAVE","","000")</f>
        <v xml:space="preserve"> PORTUGUÊS SUAVE</v>
      </c>
      <c r="D953" s="2" t="str">
        <f xml:space="preserve"> _xll.EPMOlapMemberO("[AM2MARKETDESCR].[].[PORTUGAL ]","","PORTUGAL ","","000")</f>
        <v xml:space="preserve">PORTUGAL </v>
      </c>
      <c r="E953" s="2" t="str">
        <f xml:space="preserve"> _xll.EPMOlapMemberO("[AM2PARENTCUSTGROUP].[].[Mondelez]","","Mondelez","","000")</f>
        <v>Mondelez</v>
      </c>
      <c r="F953" s="2" t="str">
        <f xml:space="preserve"> _xll.EPMOlapMemberO("[KEY_FIGURES].[].[AM2ORDERINTAKE]","","Sales Order","","000")</f>
        <v>Sales Order</v>
      </c>
      <c r="P953" s="2">
        <v>30.315788999999999</v>
      </c>
      <c r="Q953" s="2">
        <v>8.9824560000000009</v>
      </c>
      <c r="S953" s="2">
        <v>40</v>
      </c>
    </row>
    <row r="954" spans="1:41" x14ac:dyDescent="0.35">
      <c r="A954" s="2" t="str">
        <f xml:space="preserve"> _xll.EPMOlapMemberO("[LOCID].[].[Hamburg plant]","","Hamburg plant","","000")</f>
        <v>Hamburg plant</v>
      </c>
      <c r="B954" s="2" t="str">
        <f xml:space="preserve"> _xll.EPMOlapMemberO("[PRDID].[].[999-50751-0026]","","999-50751-0026","","000")</f>
        <v>999-50751-0026</v>
      </c>
      <c r="C954" s="2" t="str">
        <f xml:space="preserve"> _xll.EPMOlapMemberO("[BRAND].[].[ PORTUGUÊS SUAVE]",""," PORTUGUÊS SUAVE","","000")</f>
        <v xml:space="preserve"> PORTUGUÊS SUAVE</v>
      </c>
      <c r="D954" s="2" t="str">
        <f xml:space="preserve"> _xll.EPMOlapMemberO("[AM2MARKETDESCR].[].[PORTUGAL ]","","PORTUGAL ","","000")</f>
        <v xml:space="preserve">PORTUGAL </v>
      </c>
      <c r="E954" s="2" t="str">
        <f xml:space="preserve"> _xll.EPMOlapMemberO("[AM2PARENTCUSTGROUP].[].[Mondelez]","","Mondelez","","000")</f>
        <v>Mondelez</v>
      </c>
      <c r="F954" s="2" t="str">
        <f xml:space="preserve"> _xll.EPMOlapMemberO("[KEY_FIGURES].[].[AM2ACTUALSHIPMENTS]","","Shipments","","000")</f>
        <v>Shipments</v>
      </c>
      <c r="P954" s="2">
        <v>1728</v>
      </c>
      <c r="Q954" s="2">
        <v>512</v>
      </c>
      <c r="R954" s="2">
        <v>40</v>
      </c>
    </row>
    <row r="955" spans="1:41" x14ac:dyDescent="0.35">
      <c r="A955" s="2" t="str">
        <f xml:space="preserve"> _xll.EPMOlapMemberO("[LOCID].[].[Hamburg plant]","","Hamburg plant","","000")</f>
        <v>Hamburg plant</v>
      </c>
      <c r="B955" s="2" t="str">
        <f xml:space="preserve"> _xll.EPMOlapMemberO("[PRDID].[].[999-50751-0028]","","999-50751-0028","","000")</f>
        <v>999-50751-0028</v>
      </c>
      <c r="C955" s="2" t="str">
        <f xml:space="preserve"> _xll.EPMOlapMemberO("[BRAND].[].[ PORTUGUÊS SUAVE]",""," PORTUGUÊS SUAVE","","000")</f>
        <v xml:space="preserve"> PORTUGUÊS SUAVE</v>
      </c>
      <c r="D955" s="2" t="str">
        <f xml:space="preserve"> _xll.EPMOlapMemberO("[AM2MARKETDESCR].[].[PORTUGAL ]","","PORTUGAL ","","000")</f>
        <v xml:space="preserve">PORTUGAL </v>
      </c>
      <c r="E955" s="2" t="str">
        <f xml:space="preserve"> _xll.EPMOlapMemberO("[AM2PARENTCUSTGROUP].[].[Mondelez]","","Mondelez","","000")</f>
        <v>Mondelez</v>
      </c>
      <c r="F955" s="2" t="str">
        <f xml:space="preserve"> _xll.EPMOlapMemberO("[KEY_FIGURES].[].[AM2ORDERINTAKE]","","Sales Order","","000")</f>
        <v>Sales Order</v>
      </c>
      <c r="R955" s="2">
        <v>1632</v>
      </c>
      <c r="V955" s="2">
        <v>1176</v>
      </c>
      <c r="W955" s="2">
        <v>1920</v>
      </c>
      <c r="Y955" s="2">
        <v>1152</v>
      </c>
      <c r="AA955" s="2">
        <v>1536</v>
      </c>
      <c r="AC955" s="2">
        <v>264</v>
      </c>
    </row>
    <row r="956" spans="1:41" x14ac:dyDescent="0.35">
      <c r="A956" s="2" t="str">
        <f xml:space="preserve"> _xll.EPMOlapMemberO("[LOCID].[].[Hamburg plant]","","Hamburg plant","","000")</f>
        <v>Hamburg plant</v>
      </c>
      <c r="B956" s="2" t="str">
        <f xml:space="preserve"> _xll.EPMOlapMemberO("[PRDID].[].[999-50751-0028]","","999-50751-0028","","000")</f>
        <v>999-50751-0028</v>
      </c>
      <c r="C956" s="2" t="str">
        <f xml:space="preserve"> _xll.EPMOlapMemberO("[BRAND].[].[ PORTUGUÊS SUAVE]",""," PORTUGUÊS SUAVE","","000")</f>
        <v xml:space="preserve"> PORTUGUÊS SUAVE</v>
      </c>
      <c r="D956" s="2" t="str">
        <f xml:space="preserve"> _xll.EPMOlapMemberO("[AM2MARKETDESCR].[].[PORTUGAL ]","","PORTUGAL ","","000")</f>
        <v xml:space="preserve">PORTUGAL </v>
      </c>
      <c r="E956" s="2" t="str">
        <f xml:space="preserve"> _xll.EPMOlapMemberO("[AM2PARENTCUSTGROUP].[].[Mondelez]","","Mondelez","","000")</f>
        <v>Mondelez</v>
      </c>
      <c r="F956" s="2" t="str">
        <f xml:space="preserve"> _xll.EPMOlapMemberO("[KEY_FIGURES].[].[AM2ACTUALSHIPMENTS]","","Shipments","","000")</f>
        <v>Shipments</v>
      </c>
      <c r="R956" s="2">
        <v>1632</v>
      </c>
      <c r="V956" s="2">
        <v>1176</v>
      </c>
      <c r="W956" s="2">
        <v>1920</v>
      </c>
      <c r="Y956" s="2">
        <v>1144</v>
      </c>
      <c r="AA956" s="2">
        <v>768</v>
      </c>
      <c r="AB956" s="2">
        <v>768</v>
      </c>
      <c r="AC956" s="2">
        <v>264</v>
      </c>
    </row>
    <row r="957" spans="1:41" x14ac:dyDescent="0.35">
      <c r="A957" s="2" t="str">
        <f xml:space="preserve"> _xll.EPMOlapMemberO("[LOCID].[].[Hamburg plant]","","Hamburg plant","","000")</f>
        <v>Hamburg plant</v>
      </c>
      <c r="B957" s="2" t="str">
        <f xml:space="preserve"> _xll.EPMOlapMemberO("[PRDID].[].[999-50751-0033]","","999-50751-0033","","000")</f>
        <v>999-50751-0033</v>
      </c>
      <c r="C957" s="2" t="str">
        <f xml:space="preserve"> _xll.EPMOlapMemberO("[BRAND].[].[ PORTUGUÊS SUAVE]",""," PORTUGUÊS SUAVE","","000")</f>
        <v xml:space="preserve"> PORTUGUÊS SUAVE</v>
      </c>
      <c r="D957" s="2" t="str">
        <f xml:space="preserve"> _xll.EPMOlapMemberO("[AM2MARKETDESCR].[].[PORTUGAL ]","","PORTUGAL ","","000")</f>
        <v xml:space="preserve">PORTUGAL </v>
      </c>
      <c r="E957" s="2" t="str">
        <f xml:space="preserve"> _xll.EPMOlapMemberO("[AM2PARENTCUSTGROUP].[].[Mondelez]","","Mondelez","","000")</f>
        <v>Mondelez</v>
      </c>
      <c r="F957" s="2" t="str">
        <f xml:space="preserve"> _xll.EPMOlapMemberO("[KEY_FIGURES].[].[AM2ORDERINTAKE]","","Sales Order","","000")</f>
        <v>Sales Order</v>
      </c>
      <c r="AC957" s="2">
        <v>1824</v>
      </c>
      <c r="AF957" s="2">
        <v>1632</v>
      </c>
      <c r="AL957" s="2">
        <v>1056</v>
      </c>
      <c r="AN957" s="2">
        <v>824</v>
      </c>
      <c r="AO957" s="2">
        <v>280</v>
      </c>
    </row>
    <row r="958" spans="1:41" x14ac:dyDescent="0.35">
      <c r="A958" s="2" t="str">
        <f xml:space="preserve"> _xll.EPMOlapMemberO("[LOCID].[].[Hamburg plant]","","Hamburg plant","","000")</f>
        <v>Hamburg plant</v>
      </c>
      <c r="B958" s="2" t="str">
        <f xml:space="preserve"> _xll.EPMOlapMemberO("[PRDID].[].[999-50751-0033]","","999-50751-0033","","000")</f>
        <v>999-50751-0033</v>
      </c>
      <c r="C958" s="2" t="str">
        <f xml:space="preserve"> _xll.EPMOlapMemberO("[BRAND].[].[ PORTUGUÊS SUAVE]",""," PORTUGUÊS SUAVE","","000")</f>
        <v xml:space="preserve"> PORTUGUÊS SUAVE</v>
      </c>
      <c r="D958" s="2" t="str">
        <f xml:space="preserve"> _xll.EPMOlapMemberO("[AM2MARKETDESCR].[].[PORTUGAL ]","","PORTUGAL ","","000")</f>
        <v xml:space="preserve">PORTUGAL </v>
      </c>
      <c r="E958" s="2" t="str">
        <f xml:space="preserve"> _xll.EPMOlapMemberO("[AM2PARENTCUSTGROUP].[].[Mondelez]","","Mondelez","","000")</f>
        <v>Mondelez</v>
      </c>
      <c r="F958" s="2" t="str">
        <f xml:space="preserve"> _xll.EPMOlapMemberO("[KEY_FIGURES].[].[AM2ACTUALSHIPMENTS]","","Shipments","","000")</f>
        <v>Shipments</v>
      </c>
      <c r="AC958" s="2">
        <v>1824</v>
      </c>
      <c r="AF958" s="2">
        <v>768</v>
      </c>
      <c r="AH958" s="2">
        <v>864</v>
      </c>
      <c r="AL958" s="2">
        <v>928</v>
      </c>
      <c r="AN958" s="2">
        <v>824</v>
      </c>
      <c r="AO958" s="2">
        <v>280</v>
      </c>
    </row>
    <row r="959" spans="1:41" x14ac:dyDescent="0.35">
      <c r="A959" s="2" t="str">
        <f xml:space="preserve"> _xll.EPMOlapMemberO("[LOCID].[].[Hamburg plant]","","Hamburg plant","","000")</f>
        <v>Hamburg plant</v>
      </c>
      <c r="B959" s="2" t="str">
        <f xml:space="preserve"> _xll.EPMOlapMemberO("[PRDID].[].[999-50751-0034]","","999-50751-0034","","000")</f>
        <v>999-50751-0034</v>
      </c>
      <c r="C959" s="2" t="str">
        <f xml:space="preserve"> _xll.EPMOlapMemberO("[BRAND].[].[ PORTUGUÊS SUAVE]",""," PORTUGUÊS SUAVE","","000")</f>
        <v xml:space="preserve"> PORTUGUÊS SUAVE</v>
      </c>
      <c r="D959" s="2" t="str">
        <f xml:space="preserve"> _xll.EPMOlapMemberO("[AM2MARKETDESCR].[].[PORTUGAL ]","","PORTUGAL ","","000")</f>
        <v xml:space="preserve">PORTUGAL </v>
      </c>
      <c r="E959" s="2" t="str">
        <f xml:space="preserve"> _xll.EPMOlapMemberO("[AM2PARENTCUSTGROUP].[].[Mondelez]","","Mondelez","","000")</f>
        <v>Mondelez</v>
      </c>
      <c r="F959" s="2" t="str">
        <f xml:space="preserve"> _xll.EPMOlapMemberO("[KEY_FIGURES].[].[AM2ORDERINTAKE]","","Sales Order","","000")</f>
        <v>Sales Order</v>
      </c>
      <c r="AH959" s="2">
        <v>512</v>
      </c>
    </row>
    <row r="960" spans="1:41" x14ac:dyDescent="0.35">
      <c r="A960" s="2" t="str">
        <f xml:space="preserve"> _xll.EPMOlapMemberO("[LOCID].[].[Hamburg plant]","","Hamburg plant","","000")</f>
        <v>Hamburg plant</v>
      </c>
      <c r="B960" s="2" t="str">
        <f xml:space="preserve"> _xll.EPMOlapMemberO("[PRDID].[].[999-50751-0034]","","999-50751-0034","","000")</f>
        <v>999-50751-0034</v>
      </c>
      <c r="C960" s="2" t="str">
        <f xml:space="preserve"> _xll.EPMOlapMemberO("[BRAND].[].[ PORTUGUÊS SUAVE]",""," PORTUGUÊS SUAVE","","000")</f>
        <v xml:space="preserve"> PORTUGUÊS SUAVE</v>
      </c>
      <c r="D960" s="2" t="str">
        <f xml:space="preserve"> _xll.EPMOlapMemberO("[AM2MARKETDESCR].[].[PORTUGAL ]","","PORTUGAL ","","000")</f>
        <v xml:space="preserve">PORTUGAL </v>
      </c>
      <c r="E960" s="2" t="str">
        <f xml:space="preserve"> _xll.EPMOlapMemberO("[AM2PARENTCUSTGROUP].[].[Mondelez]","","Mondelez","","000")</f>
        <v>Mondelez</v>
      </c>
      <c r="F960" s="2" t="str">
        <f xml:space="preserve"> _xll.EPMOlapMemberO("[KEY_FIGURES].[].[AM2ACTUALSHIPMENTS]","","Shipments","","000")</f>
        <v>Shipments</v>
      </c>
      <c r="AH960" s="2">
        <v>512</v>
      </c>
    </row>
    <row r="961" spans="1:50" x14ac:dyDescent="0.35">
      <c r="A961" s="2" t="str">
        <f xml:space="preserve"> _xll.EPMOlapMemberO("[LOCID].[].[Hamburg plant]","","Hamburg plant","","000")</f>
        <v>Hamburg plant</v>
      </c>
      <c r="B961" s="2" t="str">
        <f xml:space="preserve"> _xll.EPMOlapMemberO("[PRDID].[].[999-50751-0037]","","999-50751-0037","","000")</f>
        <v>999-50751-0037</v>
      </c>
      <c r="C961" s="2" t="str">
        <f xml:space="preserve"> _xll.EPMOlapMemberO("[BRAND].[].[ PORTUGUÊS SUAVE]",""," PORTUGUÊS SUAVE","","000")</f>
        <v xml:space="preserve"> PORTUGUÊS SUAVE</v>
      </c>
      <c r="D961" s="2" t="str">
        <f xml:space="preserve"> _xll.EPMOlapMemberO("[AM2MARKETDESCR].[].[PORTUGAL ]","","PORTUGAL ","","000")</f>
        <v xml:space="preserve">PORTUGAL </v>
      </c>
      <c r="E961" s="2" t="str">
        <f xml:space="preserve"> _xll.EPMOlapMemberO("[AM2PARENTCUSTGROUP].[].[__NULL]","","(None)","","000")</f>
        <v>(None)</v>
      </c>
      <c r="F961" s="2" t="str">
        <f xml:space="preserve"> _xll.EPMOlapMemberO("[KEY_FIGURES].[].[CONFIRMEDPRODUCTION]","","Production Order","","000")</f>
        <v>Production Order</v>
      </c>
      <c r="AR961" s="2">
        <v>300</v>
      </c>
      <c r="AX961" s="2">
        <v>900</v>
      </c>
    </row>
    <row r="962" spans="1:50" x14ac:dyDescent="0.35">
      <c r="A962" s="2" t="str">
        <f xml:space="preserve"> _xll.EPMOlapMemberO("[LOCID].[].[Hamburg plant]","","Hamburg plant","","000")</f>
        <v>Hamburg plant</v>
      </c>
      <c r="B962" s="2" t="str">
        <f xml:space="preserve"> _xll.EPMOlapMemberO("[PRDID].[].[999-50751-0037]","","999-50751-0037","","000")</f>
        <v>999-50751-0037</v>
      </c>
      <c r="C962" s="2" t="str">
        <f xml:space="preserve"> _xll.EPMOlapMemberO("[BRAND].[].[ PORTUGUÊS SUAVE]",""," PORTUGUÊS SUAVE","","000")</f>
        <v xml:space="preserve"> PORTUGUÊS SUAVE</v>
      </c>
      <c r="D962" s="2" t="str">
        <f xml:space="preserve"> _xll.EPMOlapMemberO("[AM2MARKETDESCR].[].[PORTUGAL ]","","PORTUGAL ","","000")</f>
        <v xml:space="preserve">PORTUGAL </v>
      </c>
      <c r="E962" s="2" t="str">
        <f xml:space="preserve"> _xll.EPMOlapMemberO("[AM2PARENTCUSTGROUP].[].[Mondelez]","","Mondelez","","000")</f>
        <v>Mondelez</v>
      </c>
      <c r="F962" s="2" t="str">
        <f xml:space="preserve"> _xll.EPMOlapMemberO("[KEY_FIGURES].[].[AM2ORDERINTAKE]","","Sales Order","","000")</f>
        <v>Sales Order</v>
      </c>
      <c r="AP962" s="2">
        <v>1050</v>
      </c>
      <c r="AR962" s="2">
        <v>300</v>
      </c>
    </row>
    <row r="963" spans="1:50" x14ac:dyDescent="0.35">
      <c r="A963" s="2" t="str">
        <f xml:space="preserve"> _xll.EPMOlapMemberO("[LOCID].[].[Hamburg plant]","","Hamburg plant","","000")</f>
        <v>Hamburg plant</v>
      </c>
      <c r="B963" s="2" t="str">
        <f xml:space="preserve"> _xll.EPMOlapMemberO("[PRDID].[].[999-50751-0037]","","999-50751-0037","","000")</f>
        <v>999-50751-0037</v>
      </c>
      <c r="C963" s="2" t="str">
        <f xml:space="preserve"> _xll.EPMOlapMemberO("[BRAND].[].[ PORTUGUÊS SUAVE]",""," PORTUGUÊS SUAVE","","000")</f>
        <v xml:space="preserve"> PORTUGUÊS SUAVE</v>
      </c>
      <c r="D963" s="2" t="str">
        <f xml:space="preserve"> _xll.EPMOlapMemberO("[AM2MARKETDESCR].[].[PORTUGAL ]","","PORTUGAL ","","000")</f>
        <v xml:space="preserve">PORTUGAL </v>
      </c>
      <c r="E963" s="2" t="str">
        <f xml:space="preserve"> _xll.EPMOlapMemberO("[AM2PARENTCUSTGROUP].[].[Mondelez]","","Mondelez","","000")</f>
        <v>Mondelez</v>
      </c>
      <c r="F963" s="2" t="str">
        <f xml:space="preserve"> _xll.EPMOlapMemberO("[KEY_FIGURES].[].[AM2ACTUALSHIPMENTS]","","Shipments","","000")</f>
        <v>Shipments</v>
      </c>
      <c r="AP963" s="2">
        <v>1050</v>
      </c>
    </row>
    <row r="964" spans="1:50" x14ac:dyDescent="0.35">
      <c r="A964" s="2" t="str">
        <f xml:space="preserve"> _xll.EPMOlapMemberO("[LOCID].[].[Hamburg plant]","","Hamburg plant","","000")</f>
        <v>Hamburg plant</v>
      </c>
      <c r="B964" s="2" t="str">
        <f xml:space="preserve"> _xll.EPMOlapMemberO("[PRDID].[].[999-50751-0038]","","999-50751-0038","","000")</f>
        <v>999-50751-0038</v>
      </c>
      <c r="C964" s="2" t="str">
        <f xml:space="preserve"> _xll.EPMOlapMemberO("[BRAND].[].[ PORTUGUÊS SUAVE]",""," PORTUGUÊS SUAVE","","000")</f>
        <v xml:space="preserve"> PORTUGUÊS SUAVE</v>
      </c>
      <c r="D964" s="2" t="str">
        <f xml:space="preserve"> _xll.EPMOlapMemberO("[AM2MARKETDESCR].[].[PORTUGAL ]","","PORTUGAL ","","000")</f>
        <v xml:space="preserve">PORTUGAL </v>
      </c>
      <c r="E964" s="2" t="str">
        <f xml:space="preserve"> _xll.EPMOlapMemberO("[AM2PARENTCUSTGROUP].[].[__NULL]","","(None)","","000")</f>
        <v>(None)</v>
      </c>
      <c r="F964" s="2" t="str">
        <f xml:space="preserve"> _xll.EPMOlapMemberO("[KEY_FIGURES].[].[CONFIRMEDPRODUCTION]","","Production Order","","000")</f>
        <v>Production Order</v>
      </c>
      <c r="AW964" s="2">
        <v>1975</v>
      </c>
    </row>
    <row r="965" spans="1:50" x14ac:dyDescent="0.35">
      <c r="A965" s="2" t="str">
        <f xml:space="preserve"> _xll.EPMOlapMemberO("[LOCID].[].[Hamburg plant]","","Hamburg plant","","000")</f>
        <v>Hamburg plant</v>
      </c>
      <c r="B965" s="2" t="str">
        <f xml:space="preserve"> _xll.EPMOlapMemberO("[PRDID].[].[999-50751-0038]","","999-50751-0038","","000")</f>
        <v>999-50751-0038</v>
      </c>
      <c r="C965" s="2" t="str">
        <f xml:space="preserve"> _xll.EPMOlapMemberO("[BRAND].[].[ PORTUGUÊS SUAVE]",""," PORTUGUÊS SUAVE","","000")</f>
        <v xml:space="preserve"> PORTUGUÊS SUAVE</v>
      </c>
      <c r="D965" s="2" t="str">
        <f xml:space="preserve"> _xll.EPMOlapMemberO("[AM2MARKETDESCR].[].[PORTUGAL ]","","PORTUGAL ","","000")</f>
        <v xml:space="preserve">PORTUGAL </v>
      </c>
      <c r="E965" s="2" t="str">
        <f xml:space="preserve"> _xll.EPMOlapMemberO("[AM2PARENTCUSTGROUP].[].[Mondelez]","","Mondelez","","000")</f>
        <v>Mondelez</v>
      </c>
      <c r="F965" s="2" t="str">
        <f xml:space="preserve"> _xll.EPMOlapMemberO("[KEY_FIGURES].[].[AM2ORDERINTAKE]","","Sales Order","","000")</f>
        <v>Sales Order</v>
      </c>
      <c r="AQ965" s="2">
        <v>2400</v>
      </c>
    </row>
    <row r="966" spans="1:50" x14ac:dyDescent="0.35">
      <c r="A966" s="2" t="str">
        <f xml:space="preserve"> _xll.EPMOlapMemberO("[LOCID].[].[Hamburg plant]","","Hamburg plant","","000")</f>
        <v>Hamburg plant</v>
      </c>
      <c r="B966" s="2" t="str">
        <f xml:space="preserve"> _xll.EPMOlapMemberO("[PRDID].[].[999-50751-0038]","","999-50751-0038","","000")</f>
        <v>999-50751-0038</v>
      </c>
      <c r="C966" s="2" t="str">
        <f xml:space="preserve"> _xll.EPMOlapMemberO("[BRAND].[].[ PORTUGUÊS SUAVE]",""," PORTUGUÊS SUAVE","","000")</f>
        <v xml:space="preserve"> PORTUGUÊS SUAVE</v>
      </c>
      <c r="D966" s="2" t="str">
        <f xml:space="preserve"> _xll.EPMOlapMemberO("[AM2MARKETDESCR].[].[PORTUGAL ]","","PORTUGAL ","","000")</f>
        <v xml:space="preserve">PORTUGAL </v>
      </c>
      <c r="E966" s="2" t="str">
        <f xml:space="preserve"> _xll.EPMOlapMemberO("[AM2PARENTCUSTGROUP].[].[Mondelez]","","Mondelez","","000")</f>
        <v>Mondelez</v>
      </c>
      <c r="F966" s="2" t="str">
        <f xml:space="preserve"> _xll.EPMOlapMemberO("[KEY_FIGURES].[].[AM2ACTUALSHIPMENTS]","","Shipments","","000")</f>
        <v>Shipments</v>
      </c>
      <c r="AQ966" s="2">
        <v>2375</v>
      </c>
    </row>
    <row r="967" spans="1:50" x14ac:dyDescent="0.35">
      <c r="A967" s="2" t="str">
        <f xml:space="preserve"> _xll.EPMOlapMemberO("[LOCID].[].[Hamburg plant]","","Hamburg plant","","000")</f>
        <v>Hamburg plant</v>
      </c>
      <c r="B967" s="2" t="str">
        <f xml:space="preserve"> _xll.EPMOlapMemberO("[PRDID].[].[999-50751-0039]","","999-50751-0039","","000")</f>
        <v>999-50751-0039</v>
      </c>
      <c r="C967" s="2" t="str">
        <f xml:space="preserve"> _xll.EPMOlapMemberO("[BRAND].[].[ PORTUGUÊS SUAVE]",""," PORTUGUÊS SUAVE","","000")</f>
        <v xml:space="preserve"> PORTUGUÊS SUAVE</v>
      </c>
      <c r="D967" s="2" t="str">
        <f xml:space="preserve"> _xll.EPMOlapMemberO("[AM2MARKETDESCR].[].[PORTUGAL ]","","PORTUGAL ","","000")</f>
        <v xml:space="preserve">PORTUGAL </v>
      </c>
      <c r="E967" s="2" t="str">
        <f xml:space="preserve"> _xll.EPMOlapMemberO("[AM2PARENTCUSTGROUP].[].[Mondelez]","","Mondelez","","000")</f>
        <v>Mondelez</v>
      </c>
      <c r="F967" s="2" t="str">
        <f xml:space="preserve"> _xll.EPMOlapMemberO("[KEY_FIGURES].[].[AM2ORDERINTAKE]","","Sales Order","","000")</f>
        <v>Sales Order</v>
      </c>
      <c r="AQ967" s="2">
        <v>1056</v>
      </c>
    </row>
    <row r="968" spans="1:50" x14ac:dyDescent="0.35">
      <c r="A968" s="2" t="str">
        <f xml:space="preserve"> _xll.EPMOlapMemberO("[LOCID].[].[Hamburg plant]","","Hamburg plant","","000")</f>
        <v>Hamburg plant</v>
      </c>
      <c r="B968" s="2" t="str">
        <f xml:space="preserve"> _xll.EPMOlapMemberO("[PRDID].[].[999-50751-0039]","","999-50751-0039","","000")</f>
        <v>999-50751-0039</v>
      </c>
      <c r="C968" s="2" t="str">
        <f xml:space="preserve"> _xll.EPMOlapMemberO("[BRAND].[].[ PORTUGUÊS SUAVE]",""," PORTUGUÊS SUAVE","","000")</f>
        <v xml:space="preserve"> PORTUGUÊS SUAVE</v>
      </c>
      <c r="D968" s="2" t="str">
        <f xml:space="preserve"> _xll.EPMOlapMemberO("[AM2MARKETDESCR].[].[PORTUGAL ]","","PORTUGAL ","","000")</f>
        <v xml:space="preserve">PORTUGAL </v>
      </c>
      <c r="E968" s="2" t="str">
        <f xml:space="preserve"> _xll.EPMOlapMemberO("[AM2PARENTCUSTGROUP].[].[Mondelez]","","Mondelez","","000")</f>
        <v>Mondelez</v>
      </c>
      <c r="F968" s="2" t="str">
        <f xml:space="preserve"> _xll.EPMOlapMemberO("[KEY_FIGURES].[].[AM2ACTUALSHIPMENTS]","","Shipments","","000")</f>
        <v>Shipments</v>
      </c>
      <c r="AQ968" s="2">
        <v>1056</v>
      </c>
    </row>
    <row r="969" spans="1:50" x14ac:dyDescent="0.35">
      <c r="A969" s="2" t="str">
        <f xml:space="preserve"> _xll.EPMOlapMemberO("[LOCID].[].[Hamburg plant]","","Hamburg plant","","000")</f>
        <v>Hamburg plant</v>
      </c>
      <c r="B969" s="2" t="str">
        <f xml:space="preserve"> _xll.EPMOlapMemberO("[PRDID].[].[999-50765-0034]","","999-50765-0034","","000")</f>
        <v>999-50765-0034</v>
      </c>
      <c r="C969" s="2" t="str">
        <f xml:space="preserve"> _xll.EPMOlapMemberO("[BRAND].[].[ VIRGINIA SLIMS]",""," VIRGINIA SLIMS","","000")</f>
        <v xml:space="preserve"> VIRGINIA SLIMS</v>
      </c>
      <c r="D969" s="2" t="str">
        <f xml:space="preserve"> _xll.EPMOlapMemberO("[AM2MARKETDESCR].[].[FRANCE ESTIC]","","FRANCE ESTIC","","000")</f>
        <v>FRANCE ESTIC</v>
      </c>
      <c r="E969" s="2" t="str">
        <f xml:space="preserve"> _xll.EPMOlapMemberO("[AM2PARENTCUSTGROUP].[].[Mondelez]","","Mondelez","","000")</f>
        <v>Mondelez</v>
      </c>
      <c r="F969" s="2" t="str">
        <f xml:space="preserve"> _xll.EPMOlapMemberO("[KEY_FIGURES].[].[AM2ORDERINTAKE]","","Sales Order","","000")</f>
        <v>Sales Order</v>
      </c>
      <c r="O969" s="2">
        <v>450</v>
      </c>
      <c r="P969" s="2">
        <v>213.75</v>
      </c>
    </row>
    <row r="970" spans="1:50" x14ac:dyDescent="0.35">
      <c r="A970" s="2" t="str">
        <f xml:space="preserve"> _xll.EPMOlapMemberO("[LOCID].[].[Hamburg plant]","","Hamburg plant","","000")</f>
        <v>Hamburg plant</v>
      </c>
      <c r="B970" s="2" t="str">
        <f xml:space="preserve"> _xll.EPMOlapMemberO("[PRDID].[].[999-50765-0034]","","999-50765-0034","","000")</f>
        <v>999-50765-0034</v>
      </c>
      <c r="C970" s="2" t="str">
        <f xml:space="preserve"> _xll.EPMOlapMemberO("[BRAND].[].[ VIRGINIA SLIMS]",""," VIRGINIA SLIMS","","000")</f>
        <v xml:space="preserve"> VIRGINIA SLIMS</v>
      </c>
      <c r="D970" s="2" t="str">
        <f xml:space="preserve"> _xll.EPMOlapMemberO("[AM2MARKETDESCR].[].[FRANCE ESTIC]","","FRANCE ESTIC","","000")</f>
        <v>FRANCE ESTIC</v>
      </c>
      <c r="E970" s="2" t="str">
        <f xml:space="preserve"> _xll.EPMOlapMemberO("[AM2PARENTCUSTGROUP].[].[Mondelez]","","Mondelez","","000")</f>
        <v>Mondelez</v>
      </c>
      <c r="F970" s="2" t="str">
        <f xml:space="preserve"> _xll.EPMOlapMemberO("[KEY_FIGURES].[].[AM2ACTUALSHIPMENTS]","","Shipments","","000")</f>
        <v>Shipments</v>
      </c>
      <c r="O970" s="2">
        <v>450</v>
      </c>
      <c r="P970" s="2">
        <v>213.75</v>
      </c>
    </row>
    <row r="971" spans="1:50" x14ac:dyDescent="0.35">
      <c r="A971" s="2" t="str">
        <f xml:space="preserve"> _xll.EPMOlapMemberO("[LOCID].[].[Hamburg plant]","","Hamburg plant","","000")</f>
        <v>Hamburg plant</v>
      </c>
      <c r="B971" s="2" t="str">
        <f xml:space="preserve"> _xll.EPMOlapMemberO("[PRDID].[].[999-50765-0041]","","999-50765-0041","","000")</f>
        <v>999-50765-0041</v>
      </c>
      <c r="C971" s="2" t="str">
        <f xml:space="preserve"> _xll.EPMOlapMemberO("[BRAND].[].[ VIRGINIA SLIMS]",""," VIRGINIA SLIMS","","000")</f>
        <v xml:space="preserve"> VIRGINIA SLIMS</v>
      </c>
      <c r="D971" s="2" t="str">
        <f xml:space="preserve"> _xll.EPMOlapMemberO("[AM2MARKETDESCR].[].[FRANCE ESTIC]","","FRANCE ESTIC","","000")</f>
        <v>FRANCE ESTIC</v>
      </c>
      <c r="E971" s="2" t="str">
        <f xml:space="preserve"> _xll.EPMOlapMemberO("[AM2PARENTCUSTGROUP].[].[Mondelez]","","Mondelez","","000")</f>
        <v>Mondelez</v>
      </c>
      <c r="F971" s="2" t="str">
        <f xml:space="preserve"> _xll.EPMOlapMemberO("[KEY_FIGURES].[].[AM2ORDERINTAKE]","","Sales Order","","000")</f>
        <v>Sales Order</v>
      </c>
      <c r="S971" s="2">
        <v>90.548779999999994</v>
      </c>
      <c r="U971" s="2">
        <v>123.75</v>
      </c>
    </row>
    <row r="972" spans="1:50" x14ac:dyDescent="0.35">
      <c r="A972" s="2" t="str">
        <f xml:space="preserve"> _xll.EPMOlapMemberO("[LOCID].[].[Hamburg plant]","","Hamburg plant","","000")</f>
        <v>Hamburg plant</v>
      </c>
      <c r="B972" s="2" t="str">
        <f xml:space="preserve"> _xll.EPMOlapMemberO("[PRDID].[].[999-50765-0041]","","999-50765-0041","","000")</f>
        <v>999-50765-0041</v>
      </c>
      <c r="C972" s="2" t="str">
        <f xml:space="preserve"> _xll.EPMOlapMemberO("[BRAND].[].[ VIRGINIA SLIMS]",""," VIRGINIA SLIMS","","000")</f>
        <v xml:space="preserve"> VIRGINIA SLIMS</v>
      </c>
      <c r="D972" s="2" t="str">
        <f xml:space="preserve"> _xll.EPMOlapMemberO("[AM2MARKETDESCR].[].[FRANCE ESTIC]","","FRANCE ESTIC","","000")</f>
        <v>FRANCE ESTIC</v>
      </c>
      <c r="E972" s="2" t="str">
        <f xml:space="preserve"> _xll.EPMOlapMemberO("[AM2PARENTCUSTGROUP].[].[Mondelez]","","Mondelez","","000")</f>
        <v>Mondelez</v>
      </c>
      <c r="F972" s="2" t="str">
        <f xml:space="preserve"> _xll.EPMOlapMemberO("[KEY_FIGURES].[].[AM2ACTUALSHIPMENTS]","","Shipments","","000")</f>
        <v>Shipments</v>
      </c>
      <c r="S972" s="2">
        <v>337.5</v>
      </c>
      <c r="U972" s="2">
        <v>123.75</v>
      </c>
    </row>
    <row r="973" spans="1:50" x14ac:dyDescent="0.35">
      <c r="A973" s="2" t="str">
        <f xml:space="preserve"> _xll.EPMOlapMemberO("[LOCID].[].[Hamburg plant]","","Hamburg plant","","000")</f>
        <v>Hamburg plant</v>
      </c>
      <c r="B973" s="2" t="str">
        <f xml:space="preserve"> _xll.EPMOlapMemberO("[PRDID].[].[999-50765-0044]","","999-50765-0044","","000")</f>
        <v>999-50765-0044</v>
      </c>
      <c r="C973" s="2" t="str">
        <f xml:space="preserve"> _xll.EPMOlapMemberO("[BRAND].[].[ VIRGINIA SLIMS]",""," VIRGINIA SLIMS","","000")</f>
        <v xml:space="preserve"> VIRGINIA SLIMS</v>
      </c>
      <c r="D973" s="2" t="str">
        <f xml:space="preserve"> _xll.EPMOlapMemberO("[AM2MARKETDESCR].[].[FRANCE ESTIC]","","FRANCE ESTIC","","000")</f>
        <v>FRANCE ESTIC</v>
      </c>
      <c r="E973" s="2" t="str">
        <f xml:space="preserve"> _xll.EPMOlapMemberO("[AM2PARENTCUSTGROUP].[].[Mondelez]","","Mondelez","","000")</f>
        <v>Mondelez</v>
      </c>
      <c r="F973" s="2" t="str">
        <f xml:space="preserve"> _xll.EPMOlapMemberO("[KEY_FIGURES].[].[AM2ORDERINTAKE]","","Sales Order","","000")</f>
        <v>Sales Order</v>
      </c>
      <c r="V973" s="2">
        <v>630</v>
      </c>
      <c r="X973" s="2">
        <v>472.5</v>
      </c>
      <c r="AA973" s="2">
        <v>22.5</v>
      </c>
    </row>
    <row r="974" spans="1:50" x14ac:dyDescent="0.35">
      <c r="A974" s="2" t="str">
        <f xml:space="preserve"> _xll.EPMOlapMemberO("[LOCID].[].[Hamburg plant]","","Hamburg plant","","000")</f>
        <v>Hamburg plant</v>
      </c>
      <c r="B974" s="2" t="str">
        <f xml:space="preserve"> _xll.EPMOlapMemberO("[PRDID].[].[999-50765-0044]","","999-50765-0044","","000")</f>
        <v>999-50765-0044</v>
      </c>
      <c r="C974" s="2" t="str">
        <f xml:space="preserve"> _xll.EPMOlapMemberO("[BRAND].[].[ VIRGINIA SLIMS]",""," VIRGINIA SLIMS","","000")</f>
        <v xml:space="preserve"> VIRGINIA SLIMS</v>
      </c>
      <c r="D974" s="2" t="str">
        <f xml:space="preserve"> _xll.EPMOlapMemberO("[AM2MARKETDESCR].[].[FRANCE ESTIC]","","FRANCE ESTIC","","000")</f>
        <v>FRANCE ESTIC</v>
      </c>
      <c r="E974" s="2" t="str">
        <f xml:space="preserve"> _xll.EPMOlapMemberO("[AM2PARENTCUSTGROUP].[].[Mondelez]","","Mondelez","","000")</f>
        <v>Mondelez</v>
      </c>
      <c r="F974" s="2" t="str">
        <f xml:space="preserve"> _xll.EPMOlapMemberO("[KEY_FIGURES].[].[AM2ACTUALSHIPMENTS]","","Shipments","","000")</f>
        <v>Shipments</v>
      </c>
      <c r="V974" s="2">
        <v>630</v>
      </c>
      <c r="X974" s="2">
        <v>472.5</v>
      </c>
      <c r="AA974" s="2">
        <v>22.5</v>
      </c>
    </row>
    <row r="977" s="2" customFormat="1" x14ac:dyDescent="0.35"/>
    <row r="978" s="2" customFormat="1" x14ac:dyDescent="0.35"/>
    <row r="979" s="2" customFormat="1" x14ac:dyDescent="0.35"/>
    <row r="980" s="2" customFormat="1" x14ac:dyDescent="0.35"/>
    <row r="981" s="2" customFormat="1" x14ac:dyDescent="0.35"/>
    <row r="982" s="2" customFormat="1" x14ac:dyDescent="0.35"/>
    <row r="983" s="2" customFormat="1" x14ac:dyDescent="0.35"/>
    <row r="984" s="2" customFormat="1" x14ac:dyDescent="0.35"/>
    <row r="985" s="2" customFormat="1" x14ac:dyDescent="0.35"/>
    <row r="986" s="2" customFormat="1" x14ac:dyDescent="0.35"/>
    <row r="987" s="2" customFormat="1" x14ac:dyDescent="0.35"/>
    <row r="988" s="2" customFormat="1" x14ac:dyDescent="0.35"/>
    <row r="989" s="2" customFormat="1" x14ac:dyDescent="0.35"/>
    <row r="990" s="2" customFormat="1" x14ac:dyDescent="0.35"/>
    <row r="991" s="2" customFormat="1" x14ac:dyDescent="0.35"/>
    <row r="992" s="2" customFormat="1" x14ac:dyDescent="0.35"/>
    <row r="993" s="2" customFormat="1" x14ac:dyDescent="0.35"/>
    <row r="994" s="2" customFormat="1" x14ac:dyDescent="0.35"/>
    <row r="995" s="2" customFormat="1" x14ac:dyDescent="0.35"/>
    <row r="996" s="2" customFormat="1" x14ac:dyDescent="0.35"/>
    <row r="997" s="2" customFormat="1" x14ac:dyDescent="0.35"/>
    <row r="998" s="2" customFormat="1" x14ac:dyDescent="0.35"/>
    <row r="999" s="2" customFormat="1" x14ac:dyDescent="0.35"/>
    <row r="1000" s="2" customFormat="1" x14ac:dyDescent="0.35"/>
    <row r="1001" s="2" customFormat="1" x14ac:dyDescent="0.35"/>
    <row r="1002" s="2" customFormat="1" x14ac:dyDescent="0.35"/>
    <row r="1003" s="2" customFormat="1" x14ac:dyDescent="0.35"/>
    <row r="1004" s="2" customFormat="1" x14ac:dyDescent="0.35"/>
    <row r="1005" s="2" customFormat="1" x14ac:dyDescent="0.35"/>
    <row r="1006" s="2" customFormat="1" x14ac:dyDescent="0.35"/>
    <row r="1007" s="2" customFormat="1" x14ac:dyDescent="0.35"/>
    <row r="1008" s="2" customFormat="1" x14ac:dyDescent="0.35"/>
    <row r="1009" s="2" customFormat="1" x14ac:dyDescent="0.35"/>
    <row r="1010" s="2" customFormat="1" x14ac:dyDescent="0.35"/>
    <row r="1011" s="2" customFormat="1" x14ac:dyDescent="0.35"/>
    <row r="1012" s="2" customFormat="1" x14ac:dyDescent="0.35"/>
    <row r="1013" s="2" customFormat="1" x14ac:dyDescent="0.35"/>
    <row r="1014" s="2" customFormat="1" x14ac:dyDescent="0.35"/>
    <row r="1015" s="2" customFormat="1" x14ac:dyDescent="0.35"/>
    <row r="1016" s="2" customFormat="1" x14ac:dyDescent="0.35"/>
    <row r="1017" s="2" customFormat="1" x14ac:dyDescent="0.35"/>
    <row r="1018" s="2" customFormat="1" x14ac:dyDescent="0.35"/>
    <row r="1019" s="2" customFormat="1" x14ac:dyDescent="0.35"/>
    <row r="1020" s="2" customFormat="1" x14ac:dyDescent="0.35"/>
    <row r="1021" s="2" customFormat="1" x14ac:dyDescent="0.35"/>
    <row r="1022" s="2" customFormat="1" x14ac:dyDescent="0.35"/>
    <row r="1023" s="2" customFormat="1" x14ac:dyDescent="0.35"/>
    <row r="1024" s="2" customFormat="1" x14ac:dyDescent="0.35"/>
    <row r="1025" s="2" customFormat="1" x14ac:dyDescent="0.35"/>
    <row r="1026" s="2" customFormat="1" x14ac:dyDescent="0.35"/>
    <row r="1027" s="2" customFormat="1" x14ac:dyDescent="0.35"/>
    <row r="1028" s="2" customFormat="1" x14ac:dyDescent="0.35"/>
    <row r="1029" s="2" customFormat="1" x14ac:dyDescent="0.35"/>
    <row r="1030" s="2" customFormat="1" x14ac:dyDescent="0.35"/>
    <row r="1031" s="2" customFormat="1" x14ac:dyDescent="0.35"/>
    <row r="1032" s="2" customFormat="1" x14ac:dyDescent="0.35"/>
    <row r="1033" s="2" customFormat="1" x14ac:dyDescent="0.35"/>
    <row r="1034" s="2" customFormat="1" x14ac:dyDescent="0.35"/>
    <row r="1035" s="2" customFormat="1" x14ac:dyDescent="0.35"/>
    <row r="1036" s="2" customFormat="1" x14ac:dyDescent="0.35"/>
    <row r="1037" s="2" customFormat="1" x14ac:dyDescent="0.35"/>
    <row r="1038" s="2" customFormat="1" x14ac:dyDescent="0.35"/>
    <row r="1039" s="2" customFormat="1" x14ac:dyDescent="0.35"/>
    <row r="1040" s="2" customFormat="1" x14ac:dyDescent="0.35"/>
    <row r="1041" s="2" customFormat="1" x14ac:dyDescent="0.35"/>
    <row r="1042" s="2" customFormat="1" x14ac:dyDescent="0.35"/>
    <row r="1043" s="2" customFormat="1" x14ac:dyDescent="0.35"/>
    <row r="1044" s="2" customFormat="1" x14ac:dyDescent="0.35"/>
    <row r="1045" s="2" customFormat="1" x14ac:dyDescent="0.35"/>
    <row r="1046" s="2" customFormat="1" x14ac:dyDescent="0.35"/>
    <row r="1047" s="2" customFormat="1" x14ac:dyDescent="0.35"/>
    <row r="1048" s="2" customFormat="1" x14ac:dyDescent="0.35"/>
    <row r="1049" s="2" customFormat="1" x14ac:dyDescent="0.35"/>
    <row r="1050" s="2" customFormat="1" x14ac:dyDescent="0.35"/>
    <row r="1051" s="2" customFormat="1" x14ac:dyDescent="0.35"/>
    <row r="1052" s="2" customFormat="1" x14ac:dyDescent="0.35"/>
    <row r="1053" s="2" customFormat="1" x14ac:dyDescent="0.35"/>
    <row r="1054" s="2" customFormat="1" x14ac:dyDescent="0.35"/>
    <row r="1055" s="2" customFormat="1" x14ac:dyDescent="0.35"/>
    <row r="1056" s="2" customFormat="1" x14ac:dyDescent="0.35"/>
    <row r="1057" s="2" customFormat="1" x14ac:dyDescent="0.35"/>
    <row r="1058" s="2" customFormat="1" x14ac:dyDescent="0.35"/>
    <row r="1059" s="2" customFormat="1" x14ac:dyDescent="0.35"/>
    <row r="1060" s="2" customFormat="1" x14ac:dyDescent="0.35"/>
    <row r="1061" s="2" customFormat="1" x14ac:dyDescent="0.35"/>
    <row r="1062" s="2" customFormat="1" x14ac:dyDescent="0.35"/>
    <row r="1063" s="2" customFormat="1" x14ac:dyDescent="0.35"/>
    <row r="1064" s="2" customFormat="1" x14ac:dyDescent="0.35"/>
    <row r="1065" s="2" customFormat="1" x14ac:dyDescent="0.35"/>
    <row r="1066" s="2" customFormat="1" x14ac:dyDescent="0.35"/>
    <row r="1067" s="2" customFormat="1" x14ac:dyDescent="0.35"/>
    <row r="1068" s="2" customFormat="1" x14ac:dyDescent="0.35"/>
    <row r="1069" s="2" customFormat="1" x14ac:dyDescent="0.35"/>
    <row r="1070" s="2" customFormat="1" x14ac:dyDescent="0.35"/>
    <row r="1071" s="2" customFormat="1" x14ac:dyDescent="0.35"/>
    <row r="1072" s="2" customFormat="1" x14ac:dyDescent="0.35"/>
    <row r="1073" s="2" customFormat="1" x14ac:dyDescent="0.35"/>
    <row r="1074" s="2" customFormat="1" x14ac:dyDescent="0.35"/>
    <row r="1075" s="2" customFormat="1" x14ac:dyDescent="0.35"/>
    <row r="1076" s="2" customFormat="1" x14ac:dyDescent="0.35"/>
    <row r="1077" s="2" customFormat="1" x14ac:dyDescent="0.35"/>
    <row r="1078" s="2" customFormat="1" x14ac:dyDescent="0.35"/>
    <row r="1079" s="2" customFormat="1" x14ac:dyDescent="0.35"/>
    <row r="1080" s="2" customFormat="1" x14ac:dyDescent="0.35"/>
    <row r="1081" s="2" customFormat="1" x14ac:dyDescent="0.35"/>
    <row r="1082" s="2" customFormat="1" x14ac:dyDescent="0.35"/>
    <row r="1083" s="2" customFormat="1" x14ac:dyDescent="0.35"/>
    <row r="1084" s="2" customFormat="1" x14ac:dyDescent="0.35"/>
    <row r="1085" s="2" customFormat="1" x14ac:dyDescent="0.35"/>
    <row r="1086" s="2" customFormat="1" x14ac:dyDescent="0.35"/>
    <row r="1087" s="2" customFormat="1" x14ac:dyDescent="0.35"/>
    <row r="1088" s="2" customFormat="1" x14ac:dyDescent="0.35"/>
    <row r="1089" s="2" customFormat="1" x14ac:dyDescent="0.35"/>
    <row r="1090" s="2" customFormat="1" x14ac:dyDescent="0.35"/>
    <row r="1091" s="2" customFormat="1" x14ac:dyDescent="0.35"/>
    <row r="1092" s="2" customFormat="1" x14ac:dyDescent="0.35"/>
    <row r="1093" s="2" customFormat="1" x14ac:dyDescent="0.35"/>
    <row r="1094" s="2" customFormat="1" x14ac:dyDescent="0.35"/>
    <row r="1095" s="2" customFormat="1" x14ac:dyDescent="0.35"/>
    <row r="1096" s="2" customFormat="1" x14ac:dyDescent="0.35"/>
    <row r="1097" s="2" customFormat="1" x14ac:dyDescent="0.35"/>
    <row r="1098" s="2" customFormat="1" x14ac:dyDescent="0.35"/>
    <row r="1099" s="2" customFormat="1" x14ac:dyDescent="0.35"/>
    <row r="1100" s="2" customFormat="1" x14ac:dyDescent="0.35"/>
    <row r="1101" s="2" customFormat="1" x14ac:dyDescent="0.35"/>
    <row r="1102" s="2" customFormat="1" x14ac:dyDescent="0.35"/>
    <row r="1103" s="2" customFormat="1" x14ac:dyDescent="0.35"/>
    <row r="1104" s="2" customFormat="1" x14ac:dyDescent="0.35"/>
    <row r="1105" s="2" customFormat="1" x14ac:dyDescent="0.35"/>
    <row r="1106" s="2" customFormat="1" x14ac:dyDescent="0.35"/>
    <row r="1107" s="2" customFormat="1" x14ac:dyDescent="0.35"/>
    <row r="1108" s="2" customFormat="1" x14ac:dyDescent="0.35"/>
    <row r="1109" s="2" customFormat="1" x14ac:dyDescent="0.35"/>
    <row r="1110" s="2" customFormat="1" x14ac:dyDescent="0.35"/>
    <row r="1111" s="2" customFormat="1" x14ac:dyDescent="0.35"/>
    <row r="1112" s="2" customFormat="1" x14ac:dyDescent="0.35"/>
    <row r="1113" s="2" customFormat="1" x14ac:dyDescent="0.35"/>
    <row r="1114" s="2" customFormat="1" x14ac:dyDescent="0.35"/>
    <row r="1115" s="2" customFormat="1" x14ac:dyDescent="0.35"/>
    <row r="1116" s="2" customFormat="1" x14ac:dyDescent="0.35"/>
    <row r="1117" s="2" customFormat="1" x14ac:dyDescent="0.35"/>
    <row r="1118" s="2" customFormat="1" x14ac:dyDescent="0.35"/>
    <row r="1119" s="2" customFormat="1" x14ac:dyDescent="0.35"/>
    <row r="1120" s="2" customFormat="1" x14ac:dyDescent="0.35"/>
    <row r="1121" s="2" customFormat="1" x14ac:dyDescent="0.35"/>
    <row r="1122" s="2" customFormat="1" x14ac:dyDescent="0.35"/>
    <row r="1123" s="2" customFormat="1" x14ac:dyDescent="0.35"/>
    <row r="1124" s="2" customFormat="1" x14ac:dyDescent="0.35"/>
    <row r="1125" s="2" customFormat="1" x14ac:dyDescent="0.35"/>
    <row r="1126" s="2" customFormat="1" x14ac:dyDescent="0.35"/>
    <row r="1127" s="2" customFormat="1" x14ac:dyDescent="0.35"/>
    <row r="1128" s="2" customFormat="1" x14ac:dyDescent="0.35"/>
    <row r="1129" s="2" customFormat="1" x14ac:dyDescent="0.35"/>
    <row r="1130" s="2" customFormat="1" x14ac:dyDescent="0.35"/>
    <row r="1131" s="2" customFormat="1" x14ac:dyDescent="0.35"/>
    <row r="1132" s="2" customFormat="1" x14ac:dyDescent="0.35"/>
    <row r="1133" s="2" customFormat="1" x14ac:dyDescent="0.35"/>
    <row r="1134" s="2" customFormat="1" x14ac:dyDescent="0.35"/>
    <row r="1135" s="2" customFormat="1" x14ac:dyDescent="0.35"/>
    <row r="1136" s="2" customFormat="1" x14ac:dyDescent="0.35"/>
    <row r="1137" s="2" customFormat="1" x14ac:dyDescent="0.35"/>
    <row r="1138" s="2" customFormat="1" x14ac:dyDescent="0.35"/>
    <row r="1139" s="2" customFormat="1" x14ac:dyDescent="0.35"/>
    <row r="1140" s="2" customFormat="1" x14ac:dyDescent="0.35"/>
    <row r="1141" s="2" customFormat="1" x14ac:dyDescent="0.35"/>
    <row r="1142" s="2" customFormat="1" x14ac:dyDescent="0.35"/>
  </sheetData>
  <autoFilter ref="A1:BN974" xr:uid="{F5263293-6B24-499F-B59A-F87A300D867B}"/>
  <pageMargins left="0.7" right="0.7" top="0.75" bottom="0.75" header="0.3" footer="0.3"/>
  <pageSetup paperSize="9" orientation="portrait" verticalDpi="0" r:id="rId1"/>
  <customProperties>
    <customPr name="FPMExcelClientRefreshTime" r:id="rId2"/>
    <customPr name="IbpWorksheetKeyString_GUID" r:id="rId3"/>
  </customProperties>
  <drawing r:id="rId4"/>
  <legacyDrawing r:id="rId5"/>
  <controls>
    <mc:AlternateContent xmlns:mc="http://schemas.openxmlformats.org/markup-compatibility/2006">
      <mc:Choice Requires="x14">
        <control shapeId="1040" r:id="rId6" name="ReportSubmitControl_1DCtb1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40" r:id="rId6" name="ReportSubmitControl_1DCtb1"/>
      </mc:Fallback>
    </mc:AlternateContent>
    <mc:AlternateContent xmlns:mc="http://schemas.openxmlformats.org/markup-compatibility/2006">
      <mc:Choice Requires="x14">
        <control shapeId="1039" r:id="rId8" name="ReportSubmitControl_1HCtb1">
          <controlPr defaultSize="0" autoLine="0" autoPict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9" r:id="rId8" name="ReportSubmitControl_1HCtb1"/>
      </mc:Fallback>
    </mc:AlternateContent>
    <mc:AlternateContent xmlns:mc="http://schemas.openxmlformats.org/markup-compatibility/2006">
      <mc:Choice Requires="x14">
        <control shapeId="1038" r:id="rId10" name="ReportSubmitControl_1tb1">
          <controlPr defaultSize="0" autoLine="0" autoPict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8" r:id="rId10" name="ReportSubmitControl_1tb1"/>
      </mc:Fallback>
    </mc:AlternateContent>
    <mc:AlternateContent xmlns:mc="http://schemas.openxmlformats.org/markup-compatibility/2006">
      <mc:Choice Requires="x14">
        <control shapeId="1037" r:id="rId12" name="ReportSubmitManagerControlDCtb1">
          <controlPr defaultSize="0" autoLine="0" autoPict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7" r:id="rId12" name="ReportSubmitManagerControlDCtb1"/>
      </mc:Fallback>
    </mc:AlternateContent>
    <mc:AlternateContent xmlns:mc="http://schemas.openxmlformats.org/markup-compatibility/2006">
      <mc:Choice Requires="x14">
        <control shapeId="1036" r:id="rId14" name="ReportSubmitManagerControlHCtb1">
          <controlPr defaultSize="0" autoLine="0" autoPict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6" r:id="rId14" name="ReportSubmitManagerControlHCtb1"/>
      </mc:Fallback>
    </mc:AlternateContent>
    <mc:AlternateContent xmlns:mc="http://schemas.openxmlformats.org/markup-compatibility/2006">
      <mc:Choice Requires="x14">
        <control shapeId="1035" r:id="rId16" name="ReportSubmitManagerControltb1">
          <controlPr defaultSize="0" autoLine="0" autoPict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5" r:id="rId16" name="ReportSubmitManagerControltb1"/>
      </mc:Fallback>
    </mc:AlternateContent>
    <mc:AlternateContent xmlns:mc="http://schemas.openxmlformats.org/markup-compatibility/2006">
      <mc:Choice Requires="x14">
        <control shapeId="1034" r:id="rId18" name="FPMExcelClientSheetOptionstb1">
          <controlPr defaultSize="0" autoLine="0" autoPict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4" r:id="rId18" name="FPMExcelClientSheetOptionstb1"/>
      </mc:Fallback>
    </mc:AlternateContent>
    <mc:AlternateContent xmlns:mc="http://schemas.openxmlformats.org/markup-compatibility/2006">
      <mc:Choice Requires="x14">
        <control shapeId="1033" r:id="rId20" name="MultipleReportManagerInfoDCtb1">
          <controlPr defaultSize="0" autoLine="0" autoPict="0" r:id="rId2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3" r:id="rId20" name="MultipleReportManagerInfoDCtb1"/>
      </mc:Fallback>
    </mc:AlternateContent>
    <mc:AlternateContent xmlns:mc="http://schemas.openxmlformats.org/markup-compatibility/2006">
      <mc:Choice Requires="x14">
        <control shapeId="1032" r:id="rId22" name="MultipleReportManagerInfoHCtb1">
          <controlPr defaultSize="0" autoLine="0" autoPict="0" r:id="rId2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2" r:id="rId22" name="MultipleReportManagerInfoHCtb1"/>
      </mc:Fallback>
    </mc:AlternateContent>
    <mc:AlternateContent xmlns:mc="http://schemas.openxmlformats.org/markup-compatibility/2006">
      <mc:Choice Requires="x14">
        <control shapeId="1031" r:id="rId24" name="MultipleReportManagerInfotb1">
          <controlPr defaultSize="0" autoLine="0" autoPict="0" r:id="rId2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1" r:id="rId24" name="MultipleReportManagerInfotb1"/>
      </mc:Fallback>
    </mc:AlternateContent>
    <mc:AlternateContent xmlns:mc="http://schemas.openxmlformats.org/markup-compatibility/2006">
      <mc:Choice Requires="x14">
        <control shapeId="1030" r:id="rId26" name="ConnectionDescriptorsInfoDCtb1">
          <controlPr defaultSize="0" autoLine="0" autoPict="0" r:id="rId2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0" r:id="rId26" name="ConnectionDescriptorsInfoDCtb1"/>
      </mc:Fallback>
    </mc:AlternateContent>
    <mc:AlternateContent xmlns:mc="http://schemas.openxmlformats.org/markup-compatibility/2006">
      <mc:Choice Requires="x14">
        <control shapeId="1029" r:id="rId28" name="ConnectionDescriptorsInfoHCtb1">
          <controlPr defaultSize="0" autoLine="0" autoPict="0" r:id="rId2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9" r:id="rId28" name="ConnectionDescriptorsInfoHCtb1"/>
      </mc:Fallback>
    </mc:AlternateContent>
    <mc:AlternateContent xmlns:mc="http://schemas.openxmlformats.org/markup-compatibility/2006">
      <mc:Choice Requires="x14">
        <control shapeId="1028" r:id="rId30" name="ConnectionDescriptorsInfotb1">
          <controlPr defaultSize="0" autoLine="0" autoPict="0" r:id="rId3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8" r:id="rId30" name="ConnectionDescriptorsInfotb1"/>
      </mc:Fallback>
    </mc:AlternateContent>
    <mc:AlternateContent xmlns:mc="http://schemas.openxmlformats.org/markup-compatibility/2006">
      <mc:Choice Requires="x14">
        <control shapeId="1027" r:id="rId32" name="AnalyzerDynReportDC000tb1">
          <controlPr defaultSize="0" autoLine="0" autoPict="0" r:id="rId3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7" r:id="rId32" name="AnalyzerDynReportDC000tb1"/>
      </mc:Fallback>
    </mc:AlternateContent>
    <mc:AlternateContent xmlns:mc="http://schemas.openxmlformats.org/markup-compatibility/2006">
      <mc:Choice Requires="x14">
        <control shapeId="1026" r:id="rId34" name="AnalyzerDynReportHC000tb1">
          <controlPr defaultSize="0" autoLine="0" autoPict="0" r:id="rId3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6" r:id="rId34" name="AnalyzerDynReportHC000tb1"/>
      </mc:Fallback>
    </mc:AlternateContent>
    <mc:AlternateContent xmlns:mc="http://schemas.openxmlformats.org/markup-compatibility/2006">
      <mc:Choice Requires="x14">
        <control shapeId="1025" r:id="rId36" name="AnalyzerDynReport000tb1">
          <controlPr defaultSize="0" autoLine="0" autoPict="0" r:id="rId3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36" name="AnalyzerDynReport000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nfig xmlns="http://com.sap.sop/sopconfig">
  <template xmlns=""/>
  <favorite xmlns=""/>
  <bookSettings xmlns="">
    <scenarios>
      <value>__BASELINE</value>
    </scenarios>
    <simulations>
      <value>__PLAN</value>
    </simulations>
    <planningUnits>
      <planningVersion>__BASELINE</planningVersion>
      <planningScenario>__PLAN</planningScenario>
      <timeRelativeFrom>0</timeRelativeFrom>
      <timeRelativeTo>130</timeRelativeTo>
    </planningUnits>
    <dimsDispOptnId/>
    <dimsDispOptnBoth/>
    <dimsTmpltFltrMandatory/>
    <dimsTmpltFltrOptional/>
    <planningScopeSopV2/>
  </bookSettings>
  <report_Sheet1 xmlns="">
    <settings>
      <flexibleTime>
        <time>
          <dimension>PERIODID3</dimension>
          <rolling>1</rolling>
          <mode>0</mode>
          <totalName/>
          <realTime>false</realTime>
          <fromAbsolute/>
          <toAbsolute/>
          <fromRelative>-36</fromRelative>
          <toRelative>23</toRelative>
          <fromTimeAbsolute>0001-01-01T00:00:00</fromTimeAbsolute>
          <toTimeAbsolute>0001-01-01T00:00:00</toTimeAbsolute>
          <fromTimeRelativeInDays>0</fromTimeRelativeInDays>
          <toTimeRelativeInDays>729</toTimeRelativeInDays>
        </time>
      </flexibleTime>
      <planningLevels>
        <value>LOCID</value>
        <value>PRDID</value>
        <value>BRAND</value>
        <value>AM2MARKET</value>
        <value>AM2MARKETDESCR</value>
        <value>AM2PARENTCUSTGROUP</value>
      </planningLevels>
      <keyFigures>
        <value>AM2ORDERINTAKE</value>
        <value>AM2ACTUALSHIPMENTS</value>
        <value>INITIALINVENTORY</value>
        <value>CONFIRMEDPRODUCTION</value>
        <value>CONFIRMEDRECEIPT</value>
      </keyFigures>
      <conversions>
        <conversion>
          <dimension>CURRTOID</dimension>
          <member>EUR</member>
        </conversion>
        <conversion>
          <dimension>UOMTOID</dimension>
          <member>bas</member>
        </conversion>
      </conversions>
      <rowAxis>
        <value>LOCID</value>
        <value>PRDID</value>
        <value>BRAND</value>
        <value>AM2MARKET</value>
        <value>AM2MARKETDESCR</value>
        <value>AM2PARENTCUSTGROUP</value>
        <value>KEY_FIGURES</value>
      </rowAxis>
      <columnAxis>
        <value>PERIODID3</value>
      </columnAxis>
      <alerts/>
      <dimsDispOptnId/>
      <dimsDispOptnBoth/>
      <dimsTmpltFltrMandatory/>
      <dimsTmpltFltrOptional/>
      <attributeSortings>
        <attributeSorting>
          <sortOrder>
            <sortOrderItem>__AZ</sortOrderItem>
          </sortOrder>
          <sortByDimension/>
          <dimensionId>LOCID</dimensionId>
          <description>Ascending</description>
          <name>A-Z</name>
          <id>-11</id>
        </attributeSorting>
        <attributeSorting>
          <sortOrder>
            <sortOrderItem>__AZ</sortOrderItem>
          </sortOrder>
          <sortByDimension/>
          <dimensionId>PRDID</dimensionId>
          <description>Ascending</description>
          <name>A-Z</name>
          <id>-11</id>
        </attributeSorting>
        <attributeSorting>
          <sortOrder>
            <sortOrderItem>__AZ</sortOrderItem>
          </sortOrder>
          <sortByDimension/>
          <dimensionId>BRAND</dimensionId>
          <description>Ascending</description>
          <name>A-Z</name>
          <id>-11</id>
        </attributeSorting>
        <attributeSorting>
          <sortOrder>
            <sortOrderItem>__AZ</sortOrderItem>
          </sortOrder>
          <sortByDimension/>
          <dimensionId>AM2MARKET</dimensionId>
          <description>Ascending</description>
          <name>A-Z</name>
          <id>-11</id>
        </attributeSorting>
        <attributeSorting>
          <sortOrder>
            <sortOrderItem>__AZ</sortOrderItem>
          </sortOrder>
          <sortByDimension/>
          <dimensionId>AM2MARKETDESCR</dimensionId>
          <description>Ascending</description>
          <name>A-Z</name>
          <id>-11</id>
        </attributeSorting>
        <attributeSorting>
          <sortOrder>
            <sortOrderItem>__AZ</sortOrderItem>
          </sortOrder>
          <sortByDimension/>
          <dimensionId>AM2PARENTCUSTGROUP</dimensionId>
          <description>Ascending</description>
          <name>A-Z</name>
          <id>-11</id>
        </attributeSorting>
      </attributeSortings>
      <isWorkbookFilterExcluded>false</isWorkbookFilterExcluded>
    </settings>
    <filter>
      <name/>
      <id>0</id>
      <conditions>
        <condition>
          <dimension>LOCID</dimension>
          <operator>EQ</operator>
          <values>
            <value>ASCPL</value>
            <value>ASCGB</value>
            <value>ASCNB</value>
            <value>ASCFU</value>
            <value>ASCTI</value>
          </values>
          <relations/>
        </condition>
        <condition>
          <dimension>AM2PARENTCUSTGROUP</dimension>
          <operator>EQ</operator>
          <values>
            <value>PMI</value>
          </values>
          <relations/>
        </condition>
        <condition>
          <dimension>AM2MATGROUP</dimension>
          <operator>EQ</operator>
          <values>
            <value>FG</value>
          </values>
          <relations/>
        </condition>
      </conditions>
    </filter>
  </report_Sheet1>
</config>
</file>

<file path=customXml/itemProps1.xml><?xml version="1.0" encoding="utf-8"?>
<ds:datastoreItem xmlns:ds="http://schemas.openxmlformats.org/officeDocument/2006/customXml" ds:itemID="{5ECBD098-07A2-4018-A246-8347441F96BE}">
  <ds:schemaRefs>
    <ds:schemaRef ds:uri="http://com.sap.sop/sopconfi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Amcor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Thulasiraman</dc:creator>
  <cp:lastModifiedBy>Rathish Kumaar</cp:lastModifiedBy>
  <dcterms:created xsi:type="dcterms:W3CDTF">2024-05-27T05:45:18Z</dcterms:created>
  <dcterms:modified xsi:type="dcterms:W3CDTF">2024-05-27T14:09:53Z</dcterms:modified>
</cp:coreProperties>
</file>