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Assumptions" sheetId="9" r:id="rId1"/>
    <sheet name="P&amp;L" sheetId="2" r:id="rId2"/>
    <sheet name="Balance Sheet" sheetId="3" r:id="rId3"/>
    <sheet name="Cash Flow Statement" sheetId="11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1"/>
  <c r="C11" s="1"/>
  <c r="C17"/>
  <c r="C21"/>
  <c r="C24" s="1"/>
  <c r="C20"/>
  <c r="C8"/>
  <c r="C7"/>
  <c r="I28" i="9"/>
  <c r="I31" i="2"/>
  <c r="I27"/>
  <c r="I10"/>
  <c r="H31"/>
  <c r="H27"/>
  <c r="H10"/>
  <c r="G37"/>
  <c r="G35"/>
  <c r="G33"/>
  <c r="G31"/>
  <c r="G29"/>
  <c r="G27"/>
  <c r="G25"/>
  <c r="G24"/>
  <c r="G22"/>
  <c r="G19"/>
  <c r="G18"/>
  <c r="G16"/>
  <c r="G15"/>
  <c r="G12"/>
  <c r="G10"/>
  <c r="G9"/>
  <c r="G8"/>
  <c r="G7"/>
  <c r="G6"/>
  <c r="D13" i="9"/>
  <c r="E13"/>
  <c r="F13"/>
  <c r="C13"/>
  <c r="C26" i="11" l="1"/>
  <c r="B28"/>
  <c r="C27" s="1"/>
  <c r="C44" i="9" l="1"/>
  <c r="D44"/>
  <c r="E44"/>
  <c r="F44"/>
  <c r="G44"/>
  <c r="C45"/>
  <c r="D45"/>
  <c r="E45"/>
  <c r="F45"/>
  <c r="G45"/>
  <c r="C46"/>
  <c r="D46"/>
  <c r="E46"/>
  <c r="F46"/>
  <c r="G46"/>
  <c r="C47"/>
  <c r="D47"/>
  <c r="E47"/>
  <c r="F47"/>
  <c r="G47"/>
  <c r="C40"/>
  <c r="D40"/>
  <c r="E40"/>
  <c r="F40"/>
  <c r="G40"/>
  <c r="C41"/>
  <c r="D41"/>
  <c r="E41"/>
  <c r="F41"/>
  <c r="G41"/>
  <c r="C42"/>
  <c r="D42"/>
  <c r="E42"/>
  <c r="F42"/>
  <c r="G42"/>
  <c r="D39"/>
  <c r="E39"/>
  <c r="F39"/>
  <c r="G39"/>
  <c r="C39"/>
  <c r="G23" l="1"/>
  <c r="F23"/>
  <c r="E23"/>
  <c r="D23"/>
  <c r="C23"/>
  <c r="G19"/>
  <c r="H19" s="1"/>
  <c r="I19" s="1"/>
  <c r="J19" s="1"/>
  <c r="F19"/>
  <c r="E19"/>
  <c r="D19"/>
  <c r="C19"/>
  <c r="G8"/>
  <c r="G13" s="1"/>
  <c r="C16"/>
  <c r="D16"/>
  <c r="E16"/>
  <c r="F16"/>
  <c r="F46" i="3"/>
  <c r="F48" s="1"/>
  <c r="F23"/>
  <c r="F53" s="1"/>
  <c r="F16"/>
  <c r="F9"/>
  <c r="F22" i="2"/>
  <c r="F8"/>
  <c r="G21" i="9" s="1"/>
  <c r="H21" s="1"/>
  <c r="I21" s="1"/>
  <c r="J21" s="1"/>
  <c r="E35" i="2"/>
  <c r="E22"/>
  <c r="E8"/>
  <c r="E46" i="3"/>
  <c r="E33"/>
  <c r="E23"/>
  <c r="E53" s="1"/>
  <c r="E16"/>
  <c r="E9"/>
  <c r="F25" l="1"/>
  <c r="F51" s="1"/>
  <c r="F54"/>
  <c r="F54" i="9"/>
  <c r="F53"/>
  <c r="F52"/>
  <c r="F58"/>
  <c r="F57"/>
  <c r="F55"/>
  <c r="F29"/>
  <c r="F30"/>
  <c r="F31"/>
  <c r="F32"/>
  <c r="F28"/>
  <c r="F59"/>
  <c r="F60"/>
  <c r="E12" i="2"/>
  <c r="E24" s="1"/>
  <c r="G59" i="9"/>
  <c r="G53"/>
  <c r="G60"/>
  <c r="G57"/>
  <c r="G52"/>
  <c r="G54"/>
  <c r="G29"/>
  <c r="H29" s="1"/>
  <c r="I29" s="1"/>
  <c r="J29" s="1"/>
  <c r="G30"/>
  <c r="H30" s="1"/>
  <c r="I30" s="1"/>
  <c r="J30" s="1"/>
  <c r="G31"/>
  <c r="H31" s="1"/>
  <c r="I31" s="1"/>
  <c r="J31" s="1"/>
  <c r="G32"/>
  <c r="H32" s="1"/>
  <c r="I32" s="1"/>
  <c r="J32" s="1"/>
  <c r="G28"/>
  <c r="H28" s="1"/>
  <c r="J28" s="1"/>
  <c r="G55"/>
  <c r="G58"/>
  <c r="F21"/>
  <c r="F12" i="2"/>
  <c r="F24" s="1"/>
  <c r="H8" i="9"/>
  <c r="H10" s="1"/>
  <c r="H23" s="1"/>
  <c r="G16"/>
  <c r="H16" s="1"/>
  <c r="F17"/>
  <c r="D17"/>
  <c r="E17"/>
  <c r="E25" i="3"/>
  <c r="E48"/>
  <c r="F29" i="2" l="1"/>
  <c r="F33" s="1"/>
  <c r="F25"/>
  <c r="E29"/>
  <c r="E33" s="1"/>
  <c r="E25"/>
  <c r="I16" i="9"/>
  <c r="I8"/>
  <c r="I10" s="1"/>
  <c r="G17"/>
  <c r="E37" i="2" l="1"/>
  <c r="F34" i="9"/>
  <c r="G34"/>
  <c r="H34" s="1"/>
  <c r="I34" s="1"/>
  <c r="J34" s="1"/>
  <c r="F37" i="2"/>
  <c r="J16" i="9"/>
  <c r="I23"/>
  <c r="H6" i="2" s="1"/>
  <c r="H7" s="1"/>
  <c r="H8" s="1"/>
  <c r="J8" i="9"/>
  <c r="J10" s="1"/>
  <c r="E51" i="3"/>
  <c r="H18" i="2" l="1"/>
  <c r="H15"/>
  <c r="H16"/>
  <c r="H19"/>
  <c r="H9"/>
  <c r="H12" s="1"/>
  <c r="J23" i="9"/>
  <c r="I6" i="2" s="1"/>
  <c r="I7" s="1"/>
  <c r="I8" s="1"/>
  <c r="D46" i="3"/>
  <c r="D33"/>
  <c r="D23"/>
  <c r="D53" s="1"/>
  <c r="D16"/>
  <c r="C46"/>
  <c r="C33"/>
  <c r="C23"/>
  <c r="C53" s="1"/>
  <c r="C16"/>
  <c r="B46"/>
  <c r="B33"/>
  <c r="B23"/>
  <c r="B53" s="1"/>
  <c r="B16"/>
  <c r="C9"/>
  <c r="C25" s="1"/>
  <c r="D9"/>
  <c r="B9"/>
  <c r="I16" i="2" l="1"/>
  <c r="I19"/>
  <c r="I9"/>
  <c r="I12" s="1"/>
  <c r="I18"/>
  <c r="I15"/>
  <c r="H22"/>
  <c r="H24" s="1"/>
  <c r="D48" i="3"/>
  <c r="C54"/>
  <c r="D54"/>
  <c r="E54"/>
  <c r="B25"/>
  <c r="D25"/>
  <c r="D51" s="1"/>
  <c r="B48"/>
  <c r="B51" s="1"/>
  <c r="C48"/>
  <c r="C51" s="1"/>
  <c r="D35" i="2"/>
  <c r="C35"/>
  <c r="B35"/>
  <c r="I22" l="1"/>
  <c r="I24"/>
  <c r="H29"/>
  <c r="H33" s="1"/>
  <c r="H35" s="1"/>
  <c r="H37" s="1"/>
  <c r="H25"/>
  <c r="C22"/>
  <c r="D22"/>
  <c r="B22"/>
  <c r="D8"/>
  <c r="D12" s="1"/>
  <c r="C8"/>
  <c r="C12" s="1"/>
  <c r="B8"/>
  <c r="I29" l="1"/>
  <c r="I33" s="1"/>
  <c r="I35" s="1"/>
  <c r="I37" s="1"/>
  <c r="I25"/>
  <c r="C21" i="9"/>
  <c r="C52"/>
  <c r="C55"/>
  <c r="C58"/>
  <c r="C32"/>
  <c r="C59"/>
  <c r="C30"/>
  <c r="C53"/>
  <c r="C60"/>
  <c r="C29"/>
  <c r="C57"/>
  <c r="C54"/>
  <c r="C31"/>
  <c r="C28"/>
  <c r="C24" i="2"/>
  <c r="C25" s="1"/>
  <c r="D53" i="9"/>
  <c r="D52"/>
  <c r="D54"/>
  <c r="D57"/>
  <c r="D55"/>
  <c r="D58"/>
  <c r="D60"/>
  <c r="D59"/>
  <c r="D29"/>
  <c r="D30"/>
  <c r="D31"/>
  <c r="D32"/>
  <c r="D28"/>
  <c r="D21"/>
  <c r="E59"/>
  <c r="H59" s="1"/>
  <c r="E58"/>
  <c r="H58" s="1"/>
  <c r="E29"/>
  <c r="E30"/>
  <c r="E31"/>
  <c r="E32"/>
  <c r="E28"/>
  <c r="E60"/>
  <c r="H60" s="1"/>
  <c r="E52"/>
  <c r="H52" s="1"/>
  <c r="E53"/>
  <c r="H53" s="1"/>
  <c r="E55"/>
  <c r="H55" s="1"/>
  <c r="E54"/>
  <c r="H54" s="1"/>
  <c r="E57"/>
  <c r="H57" s="1"/>
  <c r="E21"/>
  <c r="B12" i="2"/>
  <c r="C29"/>
  <c r="C33" s="1"/>
  <c r="B24"/>
  <c r="B25" s="1"/>
  <c r="D24"/>
  <c r="D25" s="1"/>
  <c r="D29" l="1"/>
  <c r="D33" s="1"/>
  <c r="H44" i="9"/>
  <c r="I57"/>
  <c r="H39"/>
  <c r="I52"/>
  <c r="J52" s="1"/>
  <c r="J39" s="1"/>
  <c r="H46"/>
  <c r="I59"/>
  <c r="J59" s="1"/>
  <c r="J46" s="1"/>
  <c r="C37" i="2"/>
  <c r="D34" i="9"/>
  <c r="H41"/>
  <c r="I54"/>
  <c r="J54" s="1"/>
  <c r="J41" s="1"/>
  <c r="H47"/>
  <c r="I60"/>
  <c r="D37" i="2"/>
  <c r="E34" i="9"/>
  <c r="H42"/>
  <c r="I55"/>
  <c r="J55" s="1"/>
  <c r="J42" s="1"/>
  <c r="H40"/>
  <c r="I53"/>
  <c r="J53" s="1"/>
  <c r="J40" s="1"/>
  <c r="H45"/>
  <c r="I58"/>
  <c r="J58" s="1"/>
  <c r="J45" s="1"/>
  <c r="B29" i="2"/>
  <c r="B33" s="1"/>
  <c r="B37" l="1"/>
  <c r="C34" i="9"/>
  <c r="I47"/>
  <c r="J60"/>
  <c r="I41"/>
  <c r="I44"/>
  <c r="I45"/>
  <c r="I40"/>
  <c r="I42"/>
  <c r="I46"/>
  <c r="I39"/>
  <c r="J57"/>
  <c r="C28" i="11" l="1"/>
  <c r="G51" i="3" s="1"/>
  <c r="J44" i="9"/>
  <c r="J47"/>
  <c r="D27" i="11" l="1"/>
  <c r="D28" s="1"/>
  <c r="E27" l="1"/>
  <c r="E28" s="1"/>
</calcChain>
</file>

<file path=xl/sharedStrings.xml><?xml version="1.0" encoding="utf-8"?>
<sst xmlns="http://schemas.openxmlformats.org/spreadsheetml/2006/main" count="167" uniqueCount="104">
  <si>
    <t>FY11</t>
  </si>
  <si>
    <t>FY12</t>
  </si>
  <si>
    <t>FY13</t>
  </si>
  <si>
    <t>FY14</t>
  </si>
  <si>
    <t>FY15</t>
  </si>
  <si>
    <t>FY16</t>
  </si>
  <si>
    <t>FY17</t>
  </si>
  <si>
    <t>FY18</t>
  </si>
  <si>
    <t>Maruti Suzuki</t>
  </si>
  <si>
    <t>Revenue from Operations</t>
  </si>
  <si>
    <t>(in Rs. Crs)</t>
  </si>
  <si>
    <t xml:space="preserve">Less: Excise Duty </t>
  </si>
  <si>
    <t>Net Sales</t>
  </si>
  <si>
    <t>Other Operating Revenue</t>
  </si>
  <si>
    <t>Other Income</t>
  </si>
  <si>
    <t>Expenses</t>
  </si>
  <si>
    <t>Cost of Material</t>
  </si>
  <si>
    <t>Purchases of Stock-in-Trade</t>
  </si>
  <si>
    <t>Change in Inventories of FG,WIP</t>
  </si>
  <si>
    <t>Employee Benefits Expenses</t>
  </si>
  <si>
    <t>Finance Costs</t>
  </si>
  <si>
    <t>Depreciation &amp; Amortization Expense</t>
  </si>
  <si>
    <t>Other Expenses</t>
  </si>
  <si>
    <t>Vehicles/Dies for own use</t>
  </si>
  <si>
    <t>Total Operational Expenses</t>
  </si>
  <si>
    <t>EBIDTA</t>
  </si>
  <si>
    <t>EBIDTA Margins</t>
  </si>
  <si>
    <t>EBIT</t>
  </si>
  <si>
    <t>EBT</t>
  </si>
  <si>
    <t>Taxes</t>
  </si>
  <si>
    <t>PAT</t>
  </si>
  <si>
    <t>Total Operating Revenue</t>
  </si>
  <si>
    <t>Liabilities</t>
  </si>
  <si>
    <t>ShareHolder Funds</t>
  </si>
  <si>
    <t>Share Capital</t>
  </si>
  <si>
    <t>Reserves &amp; Surplus</t>
  </si>
  <si>
    <t>Total Shareholder's Funds</t>
  </si>
  <si>
    <t>Non Current Liabilities</t>
  </si>
  <si>
    <t>Long Term Borrowings</t>
  </si>
  <si>
    <t>Deferred Tax Liabilities (Net)</t>
  </si>
  <si>
    <t>Other Long Term Liabilities</t>
  </si>
  <si>
    <t>Long Term Provisions</t>
  </si>
  <si>
    <t>Current Liabilities</t>
  </si>
  <si>
    <t>Short Term Borrowings</t>
  </si>
  <si>
    <t>Trade Payables</t>
  </si>
  <si>
    <t>Other Current Liabilities</t>
  </si>
  <si>
    <t>Short Term Provisions</t>
  </si>
  <si>
    <t>Assets</t>
  </si>
  <si>
    <t>Total Non Current Liabilities</t>
  </si>
  <si>
    <t>Total Current Liabilities</t>
  </si>
  <si>
    <t>Total Liabilities</t>
  </si>
  <si>
    <t>Non-Current Assets (Net Assets)</t>
  </si>
  <si>
    <t>Tangible Assets</t>
  </si>
  <si>
    <t>Intangible Assets</t>
  </si>
  <si>
    <t>Capital Work in Progress</t>
  </si>
  <si>
    <t>Total Fixed Assets</t>
  </si>
  <si>
    <t>Non Current Investments</t>
  </si>
  <si>
    <t>Long Term Loans and Advances</t>
  </si>
  <si>
    <t>Other Non Current Assets</t>
  </si>
  <si>
    <t>Current Assets</t>
  </si>
  <si>
    <t>Current Investments</t>
  </si>
  <si>
    <t>Inventories</t>
  </si>
  <si>
    <t>Cash and Bank Balances</t>
  </si>
  <si>
    <t>Short Term Loans and Advances</t>
  </si>
  <si>
    <t>Other Current Assets</t>
  </si>
  <si>
    <t>Total Current Assets</t>
  </si>
  <si>
    <t>Total Assets</t>
  </si>
  <si>
    <t>Balanced</t>
  </si>
  <si>
    <t>Revenue Drivers</t>
  </si>
  <si>
    <t>Installed Capacity</t>
  </si>
  <si>
    <t>Car Sales - Total</t>
  </si>
  <si>
    <t>Capacity Utilization</t>
  </si>
  <si>
    <t>numbers</t>
  </si>
  <si>
    <t>Per unit Price</t>
  </si>
  <si>
    <t>Change in per unit price</t>
  </si>
  <si>
    <t>Other operating income as % of net revenue</t>
  </si>
  <si>
    <t>Excise Duty as % of gross revenue</t>
  </si>
  <si>
    <t>Gross Revenue</t>
  </si>
  <si>
    <t>Cost Drivers</t>
  </si>
  <si>
    <t>Raw Material Cost</t>
  </si>
  <si>
    <t>as % of sales</t>
  </si>
  <si>
    <t>Effective Tax rate</t>
  </si>
  <si>
    <t>Working Capital Drivers</t>
  </si>
  <si>
    <t>Rs Crore</t>
  </si>
  <si>
    <t>Trade Receivables</t>
  </si>
  <si>
    <t>Capital Expenditure</t>
  </si>
  <si>
    <t>Net Profit</t>
  </si>
  <si>
    <t>Add Depreciation</t>
  </si>
  <si>
    <t>Less Changes to Net Working Capital</t>
  </si>
  <si>
    <t>Cash from Operating Activities</t>
  </si>
  <si>
    <t>Increase in Investments</t>
  </si>
  <si>
    <t>Cash from Investing Activities</t>
  </si>
  <si>
    <t>Change in loans</t>
  </si>
  <si>
    <t>Change in equity</t>
  </si>
  <si>
    <t>Dividend paid</t>
  </si>
  <si>
    <t>Cash from Financing Activities</t>
  </si>
  <si>
    <t>Cash flow for the year</t>
  </si>
  <si>
    <t>Opening Cash Balances</t>
  </si>
  <si>
    <t>Closing Cash Balances</t>
  </si>
  <si>
    <t>Change in Net Working Capital</t>
  </si>
  <si>
    <t>Net Working Capital</t>
  </si>
  <si>
    <t>As % of sales</t>
  </si>
  <si>
    <t>Tax / EBT</t>
  </si>
  <si>
    <t>% of sales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</si>
</sst>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%"/>
    <numFmt numFmtId="167" formatCode="_ * #,##0_ ;_ * \-#,##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165" fontId="2" fillId="0" borderId="1" xfId="1" applyNumberFormat="1" applyFont="1" applyBorder="1"/>
    <xf numFmtId="0" fontId="0" fillId="0" borderId="1" xfId="0" applyFont="1" applyBorder="1"/>
    <xf numFmtId="43" fontId="0" fillId="0" borderId="0" xfId="0" applyNumberFormat="1"/>
    <xf numFmtId="165" fontId="0" fillId="0" borderId="0" xfId="0" applyNumberFormat="1"/>
    <xf numFmtId="0" fontId="4" fillId="0" borderId="0" xfId="0" applyFont="1"/>
    <xf numFmtId="0" fontId="0" fillId="0" borderId="0" xfId="0" applyFont="1"/>
    <xf numFmtId="165" fontId="0" fillId="0" borderId="0" xfId="1" applyNumberFormat="1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0" xfId="0" applyFont="1"/>
    <xf numFmtId="165" fontId="0" fillId="3" borderId="1" xfId="1" applyNumberFormat="1" applyFont="1" applyFill="1" applyBorder="1"/>
    <xf numFmtId="165" fontId="2" fillId="3" borderId="1" xfId="1" applyNumberFormat="1" applyFont="1" applyFill="1" applyBorder="1"/>
    <xf numFmtId="0" fontId="2" fillId="0" borderId="2" xfId="0" applyFont="1" applyBorder="1"/>
    <xf numFmtId="165" fontId="2" fillId="0" borderId="2" xfId="1" applyNumberFormat="1" applyFont="1" applyBorder="1"/>
    <xf numFmtId="0" fontId="0" fillId="0" borderId="0" xfId="0" applyBorder="1"/>
    <xf numFmtId="0" fontId="2" fillId="0" borderId="3" xfId="0" applyFont="1" applyBorder="1"/>
    <xf numFmtId="165" fontId="2" fillId="0" borderId="3" xfId="1" applyNumberFormat="1" applyFont="1" applyBorder="1"/>
    <xf numFmtId="0" fontId="0" fillId="3" borderId="1" xfId="0" applyFill="1" applyBorder="1"/>
    <xf numFmtId="165" fontId="0" fillId="0" borderId="1" xfId="0" applyNumberFormat="1" applyBorder="1"/>
    <xf numFmtId="165" fontId="0" fillId="4" borderId="1" xfId="0" applyNumberFormat="1" applyFill="1" applyBorder="1"/>
    <xf numFmtId="0" fontId="6" fillId="0" borderId="1" xfId="0" applyFont="1" applyBorder="1"/>
    <xf numFmtId="9" fontId="6" fillId="0" borderId="1" xfId="2" applyFont="1" applyBorder="1"/>
    <xf numFmtId="166" fontId="6" fillId="0" borderId="1" xfId="2" applyNumberFormat="1" applyFont="1" applyBorder="1"/>
    <xf numFmtId="166" fontId="0" fillId="0" borderId="1" xfId="2" applyNumberFormat="1" applyFont="1" applyBorder="1"/>
    <xf numFmtId="166" fontId="0" fillId="4" borderId="1" xfId="0" applyNumberFormat="1" applyFill="1" applyBorder="1"/>
    <xf numFmtId="10" fontId="0" fillId="0" borderId="1" xfId="2" applyNumberFormat="1" applyFont="1" applyBorder="1"/>
    <xf numFmtId="166" fontId="0" fillId="4" borderId="1" xfId="2" applyNumberFormat="1" applyFont="1" applyFill="1" applyBorder="1"/>
    <xf numFmtId="165" fontId="2" fillId="0" borderId="1" xfId="0" applyNumberFormat="1" applyFont="1" applyBorder="1"/>
    <xf numFmtId="0" fontId="4" fillId="0" borderId="1" xfId="0" applyFont="1" applyBorder="1"/>
    <xf numFmtId="166" fontId="4" fillId="0" borderId="1" xfId="2" applyNumberFormat="1" applyFont="1" applyBorder="1"/>
    <xf numFmtId="165" fontId="1" fillId="0" borderId="1" xfId="1" applyNumberFormat="1" applyFont="1" applyBorder="1"/>
    <xf numFmtId="166" fontId="6" fillId="5" borderId="1" xfId="2" applyNumberFormat="1" applyFont="1" applyFill="1" applyBorder="1"/>
    <xf numFmtId="9" fontId="6" fillId="5" borderId="1" xfId="0" applyNumberFormat="1" applyFont="1" applyFill="1" applyBorder="1"/>
    <xf numFmtId="164" fontId="0" fillId="3" borderId="1" xfId="1" applyNumberFormat="1" applyFont="1" applyFill="1" applyBorder="1"/>
    <xf numFmtId="167" fontId="0" fillId="3" borderId="1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zoomScale="130" zoomScaleNormal="130" workbookViewId="0">
      <pane xSplit="2" ySplit="4" topLeftCell="C19" activePane="bottomRight" state="frozen"/>
      <selection pane="topRight" activeCell="C1" sqref="C1"/>
      <selection pane="bottomLeft" activeCell="A5" sqref="A5"/>
      <selection pane="bottomRight" activeCell="J28" sqref="J28"/>
    </sheetView>
  </sheetViews>
  <sheetFormatPr defaultRowHeight="15"/>
  <cols>
    <col min="1" max="1" width="32" customWidth="1"/>
    <col min="2" max="2" width="18.140625" bestFit="1" customWidth="1"/>
    <col min="3" max="10" width="11.140625" bestFit="1" customWidth="1"/>
  </cols>
  <sheetData>
    <row r="1" spans="1:10" ht="28.5">
      <c r="A1" s="1"/>
      <c r="B1" s="1"/>
    </row>
    <row r="2" spans="1:10">
      <c r="A2" s="2" t="s">
        <v>8</v>
      </c>
      <c r="B2" s="2"/>
    </row>
    <row r="4" spans="1:10">
      <c r="A4" s="14"/>
      <c r="B4" s="14"/>
      <c r="C4" s="14" t="s">
        <v>0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6</v>
      </c>
      <c r="J4" s="14" t="s">
        <v>7</v>
      </c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4" t="s">
        <v>68</v>
      </c>
      <c r="B6" s="5"/>
      <c r="C6" s="5"/>
      <c r="D6" s="5"/>
      <c r="E6" s="5"/>
      <c r="F6" s="5"/>
      <c r="G6" s="5"/>
      <c r="H6" s="24"/>
      <c r="I6" s="24"/>
      <c r="J6" s="24"/>
    </row>
    <row r="7" spans="1:10">
      <c r="A7" s="5"/>
      <c r="B7" s="5"/>
      <c r="C7" s="5"/>
      <c r="D7" s="5"/>
      <c r="E7" s="5"/>
      <c r="F7" s="5"/>
      <c r="G7" s="5"/>
      <c r="H7" s="24"/>
      <c r="I7" s="24"/>
      <c r="J7" s="24"/>
    </row>
    <row r="8" spans="1:10">
      <c r="A8" s="5" t="s">
        <v>69</v>
      </c>
      <c r="B8" s="5" t="s">
        <v>72</v>
      </c>
      <c r="C8" s="6">
        <v>1260000</v>
      </c>
      <c r="D8" s="6">
        <v>1260000</v>
      </c>
      <c r="E8" s="6">
        <v>1260000</v>
      </c>
      <c r="F8" s="6">
        <v>1510000</v>
      </c>
      <c r="G8" s="25">
        <f t="shared" ref="G8:J8" si="0">F8</f>
        <v>1510000</v>
      </c>
      <c r="H8" s="26">
        <f t="shared" si="0"/>
        <v>1510000</v>
      </c>
      <c r="I8" s="26">
        <f t="shared" si="0"/>
        <v>1510000</v>
      </c>
      <c r="J8" s="26">
        <f t="shared" si="0"/>
        <v>1510000</v>
      </c>
    </row>
    <row r="9" spans="1:10">
      <c r="A9" s="5"/>
      <c r="B9" s="5"/>
      <c r="C9" s="6"/>
      <c r="D9" s="6"/>
      <c r="E9" s="6"/>
      <c r="F9" s="6"/>
      <c r="G9" s="5"/>
      <c r="H9" s="24"/>
      <c r="I9" s="24"/>
      <c r="J9" s="24"/>
    </row>
    <row r="10" spans="1:10">
      <c r="A10" s="5" t="s">
        <v>70</v>
      </c>
      <c r="B10" s="5" t="s">
        <v>72</v>
      </c>
      <c r="C10" s="7">
        <v>1271005</v>
      </c>
      <c r="D10" s="7">
        <v>1133695</v>
      </c>
      <c r="E10" s="7">
        <v>1171434</v>
      </c>
      <c r="F10" s="7">
        <v>1155041</v>
      </c>
      <c r="G10" s="7">
        <v>1292415</v>
      </c>
      <c r="H10" s="18">
        <f>H13*H8</f>
        <v>1283500</v>
      </c>
      <c r="I10" s="18">
        <f t="shared" ref="I10:J10" si="1">I13*I8</f>
        <v>1283500</v>
      </c>
      <c r="J10" s="18">
        <f t="shared" si="1"/>
        <v>1283500</v>
      </c>
    </row>
    <row r="11" spans="1:10">
      <c r="A11" s="5"/>
      <c r="B11" s="5"/>
      <c r="C11" s="5"/>
      <c r="D11" s="5"/>
      <c r="E11" s="5"/>
      <c r="F11" s="5"/>
      <c r="G11" s="5"/>
      <c r="H11" s="24"/>
      <c r="I11" s="24"/>
      <c r="J11" s="24"/>
    </row>
    <row r="12" spans="1:10">
      <c r="A12" s="5"/>
      <c r="B12" s="5"/>
      <c r="C12" s="5"/>
      <c r="D12" s="5"/>
      <c r="E12" s="5"/>
      <c r="F12" s="5"/>
      <c r="G12" s="5"/>
      <c r="H12" s="24"/>
      <c r="I12" s="24"/>
      <c r="J12" s="24"/>
    </row>
    <row r="13" spans="1:10" s="16" customFormat="1">
      <c r="A13" s="27" t="s">
        <v>71</v>
      </c>
      <c r="B13" s="27"/>
      <c r="C13" s="28">
        <f>C10/C8</f>
        <v>1.008734126984127</v>
      </c>
      <c r="D13" s="28">
        <f t="shared" ref="D13:G13" si="2">D10/D8</f>
        <v>0.89975793650793656</v>
      </c>
      <c r="E13" s="28">
        <f t="shared" si="2"/>
        <v>0.92970952380952376</v>
      </c>
      <c r="F13" s="28">
        <f t="shared" si="2"/>
        <v>0.7649278145695364</v>
      </c>
      <c r="G13" s="28">
        <f t="shared" si="2"/>
        <v>0.85590397350993375</v>
      </c>
      <c r="H13" s="38">
        <v>0.85</v>
      </c>
      <c r="I13" s="38">
        <v>0.85</v>
      </c>
      <c r="J13" s="38">
        <v>0.85</v>
      </c>
    </row>
    <row r="14" spans="1:10">
      <c r="A14" s="5"/>
      <c r="B14" s="5"/>
      <c r="C14" s="5"/>
      <c r="D14" s="5"/>
      <c r="E14" s="5"/>
      <c r="F14" s="5"/>
      <c r="G14" s="5"/>
      <c r="H14" s="24"/>
      <c r="I14" s="24"/>
      <c r="J14" s="24"/>
    </row>
    <row r="15" spans="1:10">
      <c r="A15" s="5"/>
      <c r="B15" s="5"/>
      <c r="C15" s="5"/>
      <c r="D15" s="5"/>
      <c r="E15" s="5"/>
      <c r="F15" s="5"/>
      <c r="G15" s="5"/>
      <c r="H15" s="24"/>
      <c r="I15" s="24"/>
      <c r="J15" s="24"/>
    </row>
    <row r="16" spans="1:10">
      <c r="A16" s="5" t="s">
        <v>73</v>
      </c>
      <c r="B16" s="5"/>
      <c r="C16" s="6">
        <f>('P&amp;L'!B6*10^7)/Assumptions!C10</f>
        <v>315514.10104602261</v>
      </c>
      <c r="D16" s="6">
        <f>('P&amp;L'!C6*10^7)/Assumptions!D10</f>
        <v>340603.95432634</v>
      </c>
      <c r="E16" s="6">
        <f>('P&amp;L'!D6*10^7)/Assumptions!E10</f>
        <v>410733.3405040318</v>
      </c>
      <c r="F16" s="6">
        <f>('P&amp;L'!E6*10^7)/Assumptions!F10</f>
        <v>414037.25062573538</v>
      </c>
      <c r="G16" s="6">
        <f>('P&amp;L'!F6*10^7)/Assumptions!G10</f>
        <v>416027.35963293526</v>
      </c>
      <c r="H16" s="17">
        <f>G16*(1+H17)</f>
        <v>416027.35963293526</v>
      </c>
      <c r="I16" s="17">
        <f>H16*(1+I17)</f>
        <v>416027.35963293526</v>
      </c>
      <c r="J16" s="17">
        <f>I16*(1+J17)</f>
        <v>416027.35963293526</v>
      </c>
    </row>
    <row r="17" spans="1:10" s="16" customFormat="1">
      <c r="A17" s="27" t="s">
        <v>74</v>
      </c>
      <c r="B17" s="27"/>
      <c r="C17" s="27"/>
      <c r="D17" s="29">
        <f>D16/C16-1</f>
        <v>7.9520545031544154E-2</v>
      </c>
      <c r="E17" s="29">
        <f t="shared" ref="E17:G17" si="3">E16/D16-1</f>
        <v>0.20589715793639707</v>
      </c>
      <c r="F17" s="29">
        <f t="shared" si="3"/>
        <v>8.0439297127650189E-3</v>
      </c>
      <c r="G17" s="29">
        <f t="shared" si="3"/>
        <v>4.8065941028065939E-3</v>
      </c>
      <c r="H17" s="39">
        <v>0</v>
      </c>
      <c r="I17" s="39">
        <v>0</v>
      </c>
      <c r="J17" s="39">
        <v>0</v>
      </c>
    </row>
    <row r="18" spans="1:10">
      <c r="A18" s="5"/>
      <c r="B18" s="5"/>
      <c r="C18" s="5"/>
      <c r="D18" s="5"/>
      <c r="E18" s="5"/>
      <c r="F18" s="5"/>
      <c r="G18" s="5"/>
      <c r="H18" s="24"/>
      <c r="I18" s="24"/>
      <c r="J18" s="24"/>
    </row>
    <row r="19" spans="1:10">
      <c r="A19" s="5" t="s">
        <v>76</v>
      </c>
      <c r="B19" s="5"/>
      <c r="C19" s="30">
        <f>'P&amp;L'!B7/'P&amp;L'!B6</f>
        <v>0.10605456086978206</v>
      </c>
      <c r="D19" s="30">
        <f>'P&amp;L'!C7/'P&amp;L'!C6</f>
        <v>0.10121173353774916</v>
      </c>
      <c r="E19" s="30">
        <f>'P&amp;L'!D7/'P&amp;L'!D6</f>
        <v>0.11435382533820226</v>
      </c>
      <c r="F19" s="30">
        <f>'P&amp;L'!E7/'P&amp;L'!E6</f>
        <v>0.10827426133868641</v>
      </c>
      <c r="G19" s="30">
        <f>'P&amp;L'!F7/'P&amp;L'!F6</f>
        <v>9.602365719386996E-2</v>
      </c>
      <c r="H19" s="31">
        <f>G19</f>
        <v>9.602365719386996E-2</v>
      </c>
      <c r="I19" s="31">
        <f>H19</f>
        <v>9.602365719386996E-2</v>
      </c>
      <c r="J19" s="31">
        <f>I19</f>
        <v>9.602365719386996E-2</v>
      </c>
    </row>
    <row r="20" spans="1:10">
      <c r="A20" s="5"/>
      <c r="B20" s="5"/>
      <c r="C20" s="5"/>
      <c r="D20" s="5"/>
      <c r="E20" s="5"/>
      <c r="F20" s="5"/>
      <c r="G20" s="5"/>
      <c r="H20" s="24"/>
      <c r="I20" s="24"/>
      <c r="J20" s="24"/>
    </row>
    <row r="21" spans="1:10">
      <c r="A21" s="5" t="s">
        <v>75</v>
      </c>
      <c r="B21" s="5"/>
      <c r="C21" s="30">
        <f>'P&amp;L'!B9/'P&amp;L'!B8</f>
        <v>2.1462244414070127E-2</v>
      </c>
      <c r="D21" s="30">
        <f>'P&amp;L'!C9/'P&amp;L'!C8</f>
        <v>2.5390495564154798E-2</v>
      </c>
      <c r="E21" s="30">
        <f>'P&amp;L'!D9/'P&amp;L'!D8</f>
        <v>2.2887596626349954E-2</v>
      </c>
      <c r="F21" s="30">
        <f>'P&amp;L'!E9/'P&amp;L'!E8</f>
        <v>2.4762574744987689E-2</v>
      </c>
      <c r="G21" s="30">
        <f>'P&amp;L'!F9/'P&amp;L'!F8</f>
        <v>2.8083530500977266E-2</v>
      </c>
      <c r="H21" s="31">
        <f>G21</f>
        <v>2.8083530500977266E-2</v>
      </c>
      <c r="I21" s="31">
        <f>H21</f>
        <v>2.8083530500977266E-2</v>
      </c>
      <c r="J21" s="31">
        <f>I21</f>
        <v>2.8083530500977266E-2</v>
      </c>
    </row>
    <row r="22" spans="1:10">
      <c r="A22" s="5"/>
      <c r="B22" s="5"/>
      <c r="C22" s="5"/>
      <c r="D22" s="5"/>
      <c r="E22" s="5"/>
      <c r="F22" s="5"/>
      <c r="G22" s="5"/>
      <c r="H22" s="24"/>
      <c r="I22" s="24"/>
      <c r="J22" s="24"/>
    </row>
    <row r="23" spans="1:10">
      <c r="A23" s="5" t="s">
        <v>77</v>
      </c>
      <c r="B23" s="5"/>
      <c r="C23" s="6">
        <f>'P&amp;L'!B6</f>
        <v>40102</v>
      </c>
      <c r="D23" s="6">
        <f>'P&amp;L'!C6</f>
        <v>38614.1</v>
      </c>
      <c r="E23" s="6">
        <f>'P&amp;L'!D6</f>
        <v>48114.7</v>
      </c>
      <c r="F23" s="6">
        <f>'P&amp;L'!E6</f>
        <v>47823</v>
      </c>
      <c r="G23" s="6">
        <f>'P&amp;L'!F6</f>
        <v>53768</v>
      </c>
      <c r="H23" s="17">
        <f>(H10*H16)/(10^7)</f>
        <v>53397.111608887237</v>
      </c>
      <c r="I23" s="17">
        <f>(I10*I16)/(10^7)</f>
        <v>53397.111608887237</v>
      </c>
      <c r="J23" s="17">
        <f>(J10*J16)/(10^7)</f>
        <v>53397.111608887237</v>
      </c>
    </row>
    <row r="24" spans="1:10">
      <c r="A24" s="5"/>
      <c r="B24" s="5"/>
      <c r="C24" s="5"/>
      <c r="D24" s="5"/>
      <c r="E24" s="5"/>
      <c r="F24" s="5"/>
      <c r="G24" s="5"/>
      <c r="H24" s="24"/>
      <c r="I24" s="24"/>
      <c r="J24" s="24"/>
    </row>
    <row r="25" spans="1:10">
      <c r="A25" s="5"/>
      <c r="B25" s="5"/>
      <c r="C25" s="5"/>
      <c r="D25" s="5"/>
      <c r="E25" s="5"/>
      <c r="F25" s="5"/>
      <c r="G25" s="5"/>
      <c r="H25" s="24"/>
      <c r="I25" s="24"/>
      <c r="J25" s="24"/>
    </row>
    <row r="26" spans="1:10">
      <c r="A26" s="4" t="s">
        <v>78</v>
      </c>
      <c r="B26" s="5"/>
      <c r="C26" s="5"/>
      <c r="D26" s="5"/>
      <c r="E26" s="5"/>
      <c r="F26" s="5"/>
      <c r="G26" s="5"/>
      <c r="H26" s="24"/>
      <c r="I26" s="24"/>
      <c r="J26" s="24"/>
    </row>
    <row r="27" spans="1:10">
      <c r="A27" s="5"/>
      <c r="B27" s="5"/>
      <c r="C27" s="5"/>
      <c r="D27" s="5"/>
      <c r="E27" s="5"/>
      <c r="F27" s="5"/>
      <c r="G27" s="5"/>
      <c r="H27" s="24"/>
      <c r="I27" s="24"/>
      <c r="J27" s="24"/>
    </row>
    <row r="28" spans="1:10">
      <c r="A28" s="5" t="s">
        <v>79</v>
      </c>
      <c r="B28" s="5" t="s">
        <v>80</v>
      </c>
      <c r="C28" s="30">
        <f>('P&amp;L'!B15+'P&amp;L'!B17)/'P&amp;L'!B8</f>
        <v>0.75555245613545707</v>
      </c>
      <c r="D28" s="30">
        <f>('P&amp;L'!C15+'P&amp;L'!C17)/'P&amp;L'!C8</f>
        <v>0.76574876317859497</v>
      </c>
      <c r="E28" s="30">
        <f>('P&amp;L'!D15+'P&amp;L'!D17)/'P&amp;L'!D8</f>
        <v>0.71802940914189695</v>
      </c>
      <c r="F28" s="30">
        <f>('P&amp;L'!E15+'P&amp;L'!E17)/'P&amp;L'!E8</f>
        <v>0.67808652831516003</v>
      </c>
      <c r="G28" s="30">
        <f>('P&amp;L'!F15+'P&amp;L'!F17)/'P&amp;L'!F8</f>
        <v>0.66542536776051842</v>
      </c>
      <c r="H28" s="31">
        <f>G28</f>
        <v>0.66542536776051842</v>
      </c>
      <c r="I28" s="31">
        <f>G28</f>
        <v>0.66542536776051842</v>
      </c>
      <c r="J28" s="31">
        <f>I28</f>
        <v>0.66542536776051842</v>
      </c>
    </row>
    <row r="29" spans="1:10">
      <c r="A29" s="5" t="s">
        <v>17</v>
      </c>
      <c r="B29" s="5" t="s">
        <v>80</v>
      </c>
      <c r="C29" s="30">
        <f>'P&amp;L'!B16/'P&amp;L'!B8</f>
        <v>3.5652319451030708E-2</v>
      </c>
      <c r="D29" s="30">
        <f>'P&amp;L'!C16/'P&amp;L'!C8</f>
        <v>4.4156757208428536E-2</v>
      </c>
      <c r="E29" s="30">
        <f>'P&amp;L'!D16/'P&amp;L'!D8</f>
        <v>4.6026292692771621E-2</v>
      </c>
      <c r="F29" s="30">
        <f>'P&amp;L'!E16/'P&amp;L'!E8</f>
        <v>5.7005510610857076E-2</v>
      </c>
      <c r="G29" s="30">
        <f>'P&amp;L'!F16/'P&amp;L'!F8</f>
        <v>5.4829750025717522E-2</v>
      </c>
      <c r="H29" s="31">
        <f t="shared" ref="H29:I32" si="4">G29</f>
        <v>5.4829750025717522E-2</v>
      </c>
      <c r="I29" s="31">
        <f t="shared" si="4"/>
        <v>5.4829750025717522E-2</v>
      </c>
      <c r="J29" s="31">
        <f t="shared" ref="J29" si="5">I29</f>
        <v>5.4829750025717522E-2</v>
      </c>
    </row>
    <row r="30" spans="1:10">
      <c r="A30" s="5" t="s">
        <v>19</v>
      </c>
      <c r="B30" s="5" t="s">
        <v>80</v>
      </c>
      <c r="C30" s="30">
        <f>'P&amp;L'!B18/'P&amp;L'!B$8</f>
        <v>1.9626767831738681E-2</v>
      </c>
      <c r="D30" s="30">
        <f>'P&amp;L'!C18/'P&amp;L'!C$8</f>
        <v>2.431286899345644E-2</v>
      </c>
      <c r="E30" s="30">
        <f>'P&amp;L'!D18/'P&amp;L'!D$8</f>
        <v>2.5100557112215635E-2</v>
      </c>
      <c r="F30" s="30">
        <f>'P&amp;L'!E18/'P&amp;L'!E$8</f>
        <v>3.2078790010552236E-2</v>
      </c>
      <c r="G30" s="30">
        <f>'P&amp;L'!F18/'P&amp;L'!F$8</f>
        <v>3.3041868120563728E-2</v>
      </c>
      <c r="H30" s="31">
        <f t="shared" si="4"/>
        <v>3.3041868120563728E-2</v>
      </c>
      <c r="I30" s="31">
        <f t="shared" si="4"/>
        <v>3.3041868120563728E-2</v>
      </c>
      <c r="J30" s="31">
        <f t="shared" ref="J30" si="6">I30</f>
        <v>3.3041868120563728E-2</v>
      </c>
    </row>
    <row r="31" spans="1:10">
      <c r="A31" s="5" t="s">
        <v>22</v>
      </c>
      <c r="B31" s="5" t="s">
        <v>80</v>
      </c>
      <c r="C31" s="30">
        <f>'P&amp;L'!B19/'P&amp;L'!B$8</f>
        <v>0.10985243660911043</v>
      </c>
      <c r="D31" s="30">
        <f>'P&amp;L'!C19/'P&amp;L'!C$8</f>
        <v>0.11999976949164262</v>
      </c>
      <c r="E31" s="30">
        <f>'P&amp;L'!D19/'P&amp;L'!D$8</f>
        <v>0.1354927885179501</v>
      </c>
      <c r="F31" s="30">
        <f>'P&amp;L'!E19/'P&amp;L'!E$8</f>
        <v>0.13886739359831166</v>
      </c>
      <c r="G31" s="30">
        <f>'P&amp;L'!F19/'P&amp;L'!F$8</f>
        <v>0.13667318177142268</v>
      </c>
      <c r="H31" s="31">
        <f t="shared" si="4"/>
        <v>0.13667318177142268</v>
      </c>
      <c r="I31" s="31">
        <f t="shared" si="4"/>
        <v>0.13667318177142268</v>
      </c>
      <c r="J31" s="31">
        <f t="shared" ref="J31" si="7">I31</f>
        <v>0.13667318177142268</v>
      </c>
    </row>
    <row r="32" spans="1:10">
      <c r="A32" s="5" t="s">
        <v>23</v>
      </c>
      <c r="B32" s="5" t="s">
        <v>80</v>
      </c>
      <c r="C32" s="30">
        <f>'P&amp;L'!B20/'P&amp;L'!B$8</f>
        <v>-6.9736952216240336E-4</v>
      </c>
      <c r="D32" s="30">
        <f>'P&amp;L'!C20/'P&amp;L'!C$8</f>
        <v>-1.2101688761853172E-3</v>
      </c>
      <c r="E32" s="30">
        <f>'P&amp;L'!D20/'P&amp;L'!D$8</f>
        <v>-1.0325584451547196E-3</v>
      </c>
      <c r="F32" s="30">
        <f>'P&amp;L'!E20/'P&amp;L'!E$8</f>
        <v>-7.9727986868331573E-4</v>
      </c>
      <c r="G32" s="30">
        <f>'P&amp;L'!F20/'P&amp;L'!F$8</f>
        <v>0</v>
      </c>
      <c r="H32" s="31">
        <f t="shared" si="4"/>
        <v>0</v>
      </c>
      <c r="I32" s="31">
        <f t="shared" si="4"/>
        <v>0</v>
      </c>
      <c r="J32" s="31">
        <f t="shared" ref="J32" si="8">I32</f>
        <v>0</v>
      </c>
    </row>
    <row r="33" spans="1:10">
      <c r="A33" s="5"/>
      <c r="B33" s="5"/>
      <c r="C33" s="5"/>
      <c r="D33" s="5"/>
      <c r="E33" s="5"/>
      <c r="F33" s="5"/>
      <c r="G33" s="5"/>
      <c r="H33" s="24"/>
      <c r="I33" s="24"/>
      <c r="J33" s="24"/>
    </row>
    <row r="34" spans="1:10">
      <c r="A34" s="5" t="s">
        <v>81</v>
      </c>
      <c r="B34" s="5" t="s">
        <v>102</v>
      </c>
      <c r="C34" s="30">
        <f>'P&amp;L'!B35/'P&amp;L'!B33</f>
        <v>0.26389112319423419</v>
      </c>
      <c r="D34" s="30">
        <f>'P&amp;L'!C35/'P&amp;L'!C33</f>
        <v>0.23819512422505029</v>
      </c>
      <c r="E34" s="30">
        <f>'P&amp;L'!D35/'P&amp;L'!D33</f>
        <v>0.20019387618665566</v>
      </c>
      <c r="F34" s="30">
        <f>'P&amp;L'!E35/'P&amp;L'!E33</f>
        <v>0.23940967477452857</v>
      </c>
      <c r="G34" s="30">
        <f>'P&amp;L'!F35/'P&amp;L'!F33</f>
        <v>0.23762579585130417</v>
      </c>
      <c r="H34" s="31">
        <f>G34</f>
        <v>0.23762579585130417</v>
      </c>
      <c r="I34" s="31">
        <f>H34</f>
        <v>0.23762579585130417</v>
      </c>
      <c r="J34" s="31">
        <f>I34</f>
        <v>0.23762579585130417</v>
      </c>
    </row>
    <row r="35" spans="1:10">
      <c r="A35" s="5"/>
      <c r="B35" s="5"/>
      <c r="C35" s="5"/>
      <c r="D35" s="5"/>
      <c r="E35" s="5"/>
      <c r="F35" s="5"/>
      <c r="G35" s="5"/>
      <c r="H35" s="24"/>
      <c r="I35" s="24"/>
      <c r="J35" s="24"/>
    </row>
    <row r="36" spans="1:10">
      <c r="A36" s="5"/>
      <c r="B36" s="5"/>
      <c r="C36" s="5"/>
      <c r="D36" s="5"/>
      <c r="E36" s="5"/>
      <c r="F36" s="5"/>
      <c r="G36" s="5"/>
      <c r="H36" s="24"/>
      <c r="I36" s="24"/>
      <c r="J36" s="24"/>
    </row>
    <row r="37" spans="1:10">
      <c r="A37" s="4" t="s">
        <v>82</v>
      </c>
      <c r="B37" s="5"/>
      <c r="C37" s="5"/>
      <c r="D37" s="5"/>
      <c r="E37" s="5"/>
      <c r="F37" s="5"/>
      <c r="G37" s="5"/>
      <c r="H37" s="24"/>
      <c r="I37" s="24"/>
      <c r="J37" s="24"/>
    </row>
    <row r="38" spans="1:10">
      <c r="A38" s="5"/>
      <c r="B38" s="5"/>
      <c r="C38" s="5"/>
      <c r="D38" s="5"/>
      <c r="E38" s="5"/>
      <c r="F38" s="5"/>
      <c r="G38" s="5"/>
      <c r="H38" s="24"/>
      <c r="I38" s="24"/>
      <c r="J38" s="24"/>
    </row>
    <row r="39" spans="1:10">
      <c r="A39" s="5" t="s">
        <v>43</v>
      </c>
      <c r="B39" s="5" t="s">
        <v>83</v>
      </c>
      <c r="C39" s="6">
        <f>'Balance Sheet'!B19</f>
        <v>31.2</v>
      </c>
      <c r="D39" s="6">
        <f>'Balance Sheet'!C19</f>
        <v>1078.3</v>
      </c>
      <c r="E39" s="6">
        <f>'Balance Sheet'!D19</f>
        <v>846.3</v>
      </c>
      <c r="F39" s="6">
        <f>'Balance Sheet'!E19</f>
        <v>1225</v>
      </c>
      <c r="G39" s="6">
        <f>'Balance Sheet'!F19</f>
        <v>35</v>
      </c>
      <c r="H39" s="17">
        <f>'P&amp;L'!G$8*H52</f>
        <v>793.32803706425875</v>
      </c>
      <c r="I39" s="17">
        <f>'P&amp;L'!H$8*I52</f>
        <v>738.21993506983733</v>
      </c>
      <c r="J39" s="17">
        <f>'P&amp;L'!I$8*J52</f>
        <v>522.10218142152166</v>
      </c>
    </row>
    <row r="40" spans="1:10">
      <c r="A40" s="5" t="s">
        <v>44</v>
      </c>
      <c r="B40" s="5" t="s">
        <v>83</v>
      </c>
      <c r="C40" s="6">
        <f>'Balance Sheet'!B20</f>
        <v>2608.3000000000002</v>
      </c>
      <c r="D40" s="6">
        <f>'Balance Sheet'!C20</f>
        <v>3349.9</v>
      </c>
      <c r="E40" s="6">
        <f>'Balance Sheet'!D20</f>
        <v>4167.3999999999996</v>
      </c>
      <c r="F40" s="6">
        <f>'Balance Sheet'!E20</f>
        <v>4897</v>
      </c>
      <c r="G40" s="6">
        <f>'Balance Sheet'!F20</f>
        <v>5561</v>
      </c>
      <c r="H40" s="17">
        <f>'P&amp;L'!G$8*H53</f>
        <v>5262.0632131741595</v>
      </c>
      <c r="I40" s="17">
        <f>'P&amp;L'!H$8*I53</f>
        <v>5442.5336227582493</v>
      </c>
      <c r="J40" s="17">
        <f>'P&amp;L'!I$8*J53</f>
        <v>5409.0791321444949</v>
      </c>
    </row>
    <row r="41" spans="1:10">
      <c r="A41" s="5" t="s">
        <v>45</v>
      </c>
      <c r="B41" s="5" t="s">
        <v>83</v>
      </c>
      <c r="C41" s="6">
        <f>'Balance Sheet'!B21</f>
        <v>993</v>
      </c>
      <c r="D41" s="6">
        <f>'Balance Sheet'!C21</f>
        <v>1589.2</v>
      </c>
      <c r="E41" s="6">
        <f>'Balance Sheet'!D21</f>
        <v>1166.0999999999999</v>
      </c>
      <c r="F41" s="6">
        <f>'Balance Sheet'!E21</f>
        <v>1274</v>
      </c>
      <c r="G41" s="6">
        <f>'Balance Sheet'!F21</f>
        <v>1866</v>
      </c>
      <c r="H41" s="17">
        <f>'P&amp;L'!G$8*H54</f>
        <v>1538.690878862745</v>
      </c>
      <c r="I41" s="17">
        <f>'P&amp;L'!H$8*I54</f>
        <v>1611.2851494341833</v>
      </c>
      <c r="J41" s="17">
        <f>'P&amp;L'!I$8*J54</f>
        <v>1667.7014912937857</v>
      </c>
    </row>
    <row r="42" spans="1:10">
      <c r="A42" s="5" t="s">
        <v>46</v>
      </c>
      <c r="B42" s="5" t="s">
        <v>83</v>
      </c>
      <c r="C42" s="6">
        <f>'Balance Sheet'!B22</f>
        <v>386.2</v>
      </c>
      <c r="D42" s="6">
        <f>'Balance Sheet'!C22</f>
        <v>530.20000000000005</v>
      </c>
      <c r="E42" s="6">
        <f>'Balance Sheet'!D22</f>
        <v>648.20000000000005</v>
      </c>
      <c r="F42" s="6">
        <f>'Balance Sheet'!E22</f>
        <v>678</v>
      </c>
      <c r="G42" s="6">
        <f>'Balance Sheet'!F22</f>
        <v>1360</v>
      </c>
      <c r="H42" s="17">
        <f>'P&amp;L'!G$8*H55</f>
        <v>950.76592667212378</v>
      </c>
      <c r="I42" s="17">
        <f>'P&amp;L'!H$8*I55</f>
        <v>1022.9368491106658</v>
      </c>
      <c r="J42" s="17">
        <f>'P&amp;L'!I$8*J55</f>
        <v>1108.107192855575</v>
      </c>
    </row>
    <row r="43" spans="1:10">
      <c r="A43" s="5"/>
      <c r="B43" s="5"/>
      <c r="C43" s="6"/>
      <c r="D43" s="6"/>
      <c r="E43" s="6"/>
      <c r="F43" s="6"/>
      <c r="G43" s="6"/>
      <c r="H43" s="17"/>
      <c r="I43" s="17"/>
      <c r="J43" s="17"/>
    </row>
    <row r="44" spans="1:10">
      <c r="A44" s="5" t="s">
        <v>61</v>
      </c>
      <c r="B44" s="5" t="s">
        <v>83</v>
      </c>
      <c r="C44" s="6">
        <f>'Balance Sheet'!B41</f>
        <v>1415</v>
      </c>
      <c r="D44" s="6">
        <f>'Balance Sheet'!C41</f>
        <v>1796.5</v>
      </c>
      <c r="E44" s="6">
        <f>'Balance Sheet'!D41</f>
        <v>1840.7</v>
      </c>
      <c r="F44" s="6">
        <f>'Balance Sheet'!E41</f>
        <v>1706</v>
      </c>
      <c r="G44" s="6">
        <f>'Balance Sheet'!F41</f>
        <v>2615</v>
      </c>
      <c r="H44" s="17">
        <f>'P&amp;L'!G$8*H57</f>
        <v>2204.3477698179545</v>
      </c>
      <c r="I44" s="17">
        <f>'P&amp;L'!H$8*I57</f>
        <v>2244.1083550120775</v>
      </c>
      <c r="J44" s="17">
        <f>'P&amp;L'!I$8*J57</f>
        <v>2348.4726713354989</v>
      </c>
    </row>
    <row r="45" spans="1:10">
      <c r="A45" s="5" t="s">
        <v>84</v>
      </c>
      <c r="B45" s="5" t="s">
        <v>83</v>
      </c>
      <c r="C45" s="6">
        <f>'Balance Sheet'!B42</f>
        <v>824.5</v>
      </c>
      <c r="D45" s="6">
        <f>'Balance Sheet'!C42</f>
        <v>937.6</v>
      </c>
      <c r="E45" s="6">
        <f>'Balance Sheet'!D42</f>
        <v>1423.7</v>
      </c>
      <c r="F45" s="6">
        <f>'Balance Sheet'!E42</f>
        <v>1414</v>
      </c>
      <c r="G45" s="6">
        <f>'Balance Sheet'!F42</f>
        <v>1070</v>
      </c>
      <c r="H45" s="17">
        <f>'P&amp;L'!G$8*H58</f>
        <v>1425.2757120157876</v>
      </c>
      <c r="I45" s="17">
        <f>'P&amp;L'!H$8*I58</f>
        <v>1362.7988497062058</v>
      </c>
      <c r="J45" s="17">
        <f>'P&amp;L'!I$8*J58</f>
        <v>1283.5645889511572</v>
      </c>
    </row>
    <row r="46" spans="1:10">
      <c r="A46" s="5" t="s">
        <v>63</v>
      </c>
      <c r="B46" s="5" t="s">
        <v>83</v>
      </c>
      <c r="C46" s="6">
        <f>'Balance Sheet'!B44</f>
        <v>683.6</v>
      </c>
      <c r="D46" s="6">
        <f>'Balance Sheet'!C44</f>
        <v>778.3</v>
      </c>
      <c r="E46" s="6">
        <f>'Balance Sheet'!D44</f>
        <v>1115.3</v>
      </c>
      <c r="F46" s="6">
        <f>'Balance Sheet'!E44</f>
        <v>1251</v>
      </c>
      <c r="G46" s="6">
        <f>'Balance Sheet'!F44</f>
        <v>1173</v>
      </c>
      <c r="H46" s="17">
        <f>'P&amp;L'!G$8*H59</f>
        <v>1281.425075991725</v>
      </c>
      <c r="I46" s="17">
        <f>'P&amp;L'!H$8*I59</f>
        <v>1287.4454326859211</v>
      </c>
      <c r="J46" s="17">
        <f>'P&amp;L'!I$8*J59</f>
        <v>1244.5930753595967</v>
      </c>
    </row>
    <row r="47" spans="1:10">
      <c r="A47" s="5" t="s">
        <v>64</v>
      </c>
      <c r="B47" s="5" t="s">
        <v>83</v>
      </c>
      <c r="C47" s="6">
        <f>'Balance Sheet'!B45</f>
        <v>193</v>
      </c>
      <c r="D47" s="6">
        <f>'Balance Sheet'!C45</f>
        <v>376.4</v>
      </c>
      <c r="E47" s="6">
        <f>'Balance Sheet'!D45</f>
        <v>540.29999999999995</v>
      </c>
      <c r="F47" s="6">
        <f>'Balance Sheet'!E45</f>
        <v>358</v>
      </c>
      <c r="G47" s="6">
        <f>'Balance Sheet'!F45</f>
        <v>326</v>
      </c>
      <c r="H47" s="17">
        <f>'P&amp;L'!G$8*H60</f>
        <v>446.99962703487529</v>
      </c>
      <c r="I47" s="17">
        <f>'P&amp;L'!H$8*I60</f>
        <v>391.98994702031723</v>
      </c>
      <c r="J47" s="17">
        <f>'P&amp;L'!I$8*J60</f>
        <v>387.58028196632961</v>
      </c>
    </row>
    <row r="48" spans="1:10">
      <c r="A48" s="5"/>
      <c r="B48" s="5"/>
      <c r="C48" s="6"/>
      <c r="D48" s="6"/>
      <c r="E48" s="6"/>
      <c r="F48" s="6"/>
      <c r="G48" s="6"/>
      <c r="H48" s="24"/>
      <c r="I48" s="24"/>
      <c r="J48" s="24"/>
    </row>
    <row r="49" spans="1:10">
      <c r="A49" s="5"/>
      <c r="B49" s="5"/>
      <c r="C49" s="5"/>
      <c r="D49" s="5"/>
      <c r="E49" s="5"/>
      <c r="F49" s="5"/>
      <c r="G49" s="5"/>
      <c r="H49" s="24"/>
      <c r="I49" s="24"/>
      <c r="J49" s="24"/>
    </row>
    <row r="50" spans="1:10">
      <c r="A50" s="4" t="s">
        <v>101</v>
      </c>
      <c r="B50" s="5"/>
      <c r="C50" s="5"/>
      <c r="D50" s="5"/>
      <c r="E50" s="5"/>
      <c r="F50" s="5"/>
      <c r="G50" s="5"/>
      <c r="H50" s="24"/>
      <c r="I50" s="24"/>
      <c r="J50" s="24"/>
    </row>
    <row r="51" spans="1:10">
      <c r="A51" s="5"/>
      <c r="B51" s="5"/>
      <c r="C51" s="5"/>
      <c r="D51" s="5"/>
      <c r="E51" s="5"/>
      <c r="F51" s="5"/>
      <c r="G51" s="5"/>
      <c r="H51" s="24"/>
      <c r="I51" s="24"/>
      <c r="J51" s="24"/>
    </row>
    <row r="52" spans="1:10">
      <c r="A52" s="5" t="s">
        <v>43</v>
      </c>
      <c r="B52" s="5" t="s">
        <v>103</v>
      </c>
      <c r="C52" s="32">
        <f>C39/'P&amp;L'!B$8</f>
        <v>8.7031716365867939E-4</v>
      </c>
      <c r="D52" s="32">
        <f>D39/'P&amp;L'!C$8</f>
        <v>3.1069645218824462E-2</v>
      </c>
      <c r="E52" s="32">
        <f>E39/'P&amp;L'!D$8</f>
        <v>1.9860323003055434E-2</v>
      </c>
      <c r="F52" s="32">
        <f>F39/'P&amp;L'!E$8</f>
        <v>2.8725524680501817E-2</v>
      </c>
      <c r="G52" s="32">
        <f>G39/'P&amp;L'!F$8</f>
        <v>7.2009052566608374E-4</v>
      </c>
      <c r="H52" s="33">
        <f t="shared" ref="H52:J55" si="9">AVERAGE(E52:G52)</f>
        <v>1.6435312736407779E-2</v>
      </c>
      <c r="I52" s="33">
        <f>AVERAGE(F52:H52)</f>
        <v>1.5293642647525226E-2</v>
      </c>
      <c r="J52" s="33">
        <f>AVERAGE(G52:I52)</f>
        <v>1.0816348636533029E-2</v>
      </c>
    </row>
    <row r="53" spans="1:10">
      <c r="A53" s="5" t="s">
        <v>44</v>
      </c>
      <c r="B53" s="5" t="s">
        <v>103</v>
      </c>
      <c r="C53" s="32">
        <f>C40/'P&amp;L'!B$8</f>
        <v>7.2757956986247874E-2</v>
      </c>
      <c r="D53" s="32">
        <f>D40/'P&amp;L'!C$8</f>
        <v>9.6522493293647482E-2</v>
      </c>
      <c r="E53" s="32">
        <f>E40/'P&amp;L'!D$8</f>
        <v>9.7797365098585859E-2</v>
      </c>
      <c r="F53" s="32">
        <f>F40/'P&amp;L'!E$8</f>
        <v>0.11483175049829991</v>
      </c>
      <c r="G53" s="32">
        <f>G40/'P&amp;L'!F$8</f>
        <v>0.11441209752083119</v>
      </c>
      <c r="H53" s="33">
        <f t="shared" si="9"/>
        <v>0.10901373770590565</v>
      </c>
      <c r="I53" s="33">
        <f t="shared" si="9"/>
        <v>0.11275252857501226</v>
      </c>
      <c r="J53" s="33">
        <f t="shared" si="9"/>
        <v>0.11205945460058303</v>
      </c>
    </row>
    <row r="54" spans="1:10">
      <c r="A54" s="5" t="s">
        <v>45</v>
      </c>
      <c r="B54" s="5" t="s">
        <v>103</v>
      </c>
      <c r="C54" s="32">
        <f>C41/'P&amp;L'!B$8</f>
        <v>2.7699517420290663E-2</v>
      </c>
      <c r="D54" s="32">
        <f>D41/'P&amp;L'!C$8</f>
        <v>4.5790485191278714E-2</v>
      </c>
      <c r="E54" s="32">
        <f>E41/'P&amp;L'!D$8</f>
        <v>2.7365145520339054E-2</v>
      </c>
      <c r="F54" s="32">
        <f>F41/'P&amp;L'!E$8</f>
        <v>2.9874545667721891E-2</v>
      </c>
      <c r="G54" s="32">
        <f>G41/'P&amp;L'!F$8</f>
        <v>3.8391112025511778E-2</v>
      </c>
      <c r="H54" s="33">
        <f t="shared" si="9"/>
        <v>3.1876934404524243E-2</v>
      </c>
      <c r="I54" s="33">
        <f t="shared" si="9"/>
        <v>3.3380864032585972E-2</v>
      </c>
      <c r="J54" s="33">
        <f t="shared" si="9"/>
        <v>3.4549636820873995E-2</v>
      </c>
    </row>
    <row r="55" spans="1:10">
      <c r="A55" s="5" t="s">
        <v>46</v>
      </c>
      <c r="B55" s="5" t="s">
        <v>103</v>
      </c>
      <c r="C55" s="32">
        <f>C42/'P&amp;L'!B$8</f>
        <v>1.0772964378364808E-2</v>
      </c>
      <c r="D55" s="32">
        <f>D42/'P&amp;L'!C$8</f>
        <v>1.5276941384606077E-2</v>
      </c>
      <c r="E55" s="32">
        <f>E42/'P&amp;L'!D$8</f>
        <v>1.521146327612021E-2</v>
      </c>
      <c r="F55" s="32">
        <f>F42/'P&amp;L'!E$8</f>
        <v>1.5898698557861413E-2</v>
      </c>
      <c r="G55" s="32">
        <f>G42/'P&amp;L'!F$8</f>
        <v>2.7980660425882112E-2</v>
      </c>
      <c r="H55" s="33">
        <f t="shared" si="9"/>
        <v>1.9696940753287911E-2</v>
      </c>
      <c r="I55" s="33">
        <f t="shared" si="9"/>
        <v>2.1192099912343814E-2</v>
      </c>
      <c r="J55" s="33">
        <f t="shared" si="9"/>
        <v>2.2956567030504613E-2</v>
      </c>
    </row>
    <row r="56" spans="1:10">
      <c r="A56" s="5"/>
      <c r="B56" s="5"/>
      <c r="C56" s="32"/>
      <c r="D56" s="32"/>
      <c r="E56" s="32"/>
      <c r="F56" s="32"/>
      <c r="G56" s="32"/>
      <c r="H56" s="24"/>
      <c r="I56" s="24"/>
      <c r="J56" s="24"/>
    </row>
    <row r="57" spans="1:10">
      <c r="A57" s="5" t="s">
        <v>61</v>
      </c>
      <c r="B57" s="5" t="s">
        <v>103</v>
      </c>
      <c r="C57" s="32">
        <f>C44/'P&amp;L'!B$8</f>
        <v>3.9471114954392032E-2</v>
      </c>
      <c r="D57" s="32">
        <f>D44/'P&amp;L'!C$8</f>
        <v>5.1763533001593386E-2</v>
      </c>
      <c r="E57" s="32">
        <f>E44/'P&amp;L'!D$8</f>
        <v>4.3196143863552097E-2</v>
      </c>
      <c r="F57" s="32">
        <f>F44/'P&amp;L'!E$8</f>
        <v>4.0004689881580492E-2</v>
      </c>
      <c r="G57" s="32">
        <f>G44/'P&amp;L'!F$8</f>
        <v>5.380104927476597E-2</v>
      </c>
      <c r="H57" s="33">
        <f t="shared" ref="H57:J60" si="10">AVERAGE(E57:G57)</f>
        <v>4.5667294339966191E-2</v>
      </c>
      <c r="I57" s="33">
        <f t="shared" si="10"/>
        <v>4.6491011165437551E-2</v>
      </c>
      <c r="J57" s="33">
        <f t="shared" si="10"/>
        <v>4.8653118260056576E-2</v>
      </c>
    </row>
    <row r="58" spans="1:10">
      <c r="A58" s="5" t="s">
        <v>84</v>
      </c>
      <c r="B58" s="5" t="s">
        <v>103</v>
      </c>
      <c r="C58" s="32">
        <f>C45/'P&amp;L'!B$8</f>
        <v>2.2999246840916063E-2</v>
      </c>
      <c r="D58" s="32">
        <f>D45/'P&amp;L'!C$8</f>
        <v>2.7015579483603652E-2</v>
      </c>
      <c r="E58" s="32">
        <f>E45/'P&amp;L'!D$8</f>
        <v>3.3410305871972142E-2</v>
      </c>
      <c r="F58" s="32">
        <f>F45/'P&amp;L'!E$8</f>
        <v>3.3157462774064957E-2</v>
      </c>
      <c r="G58" s="32">
        <f>G45/'P&amp;L'!F$8</f>
        <v>2.2014196070363132E-2</v>
      </c>
      <c r="H58" s="33">
        <f t="shared" si="10"/>
        <v>2.9527321572133409E-2</v>
      </c>
      <c r="I58" s="33">
        <f t="shared" si="10"/>
        <v>2.8232993472187166E-2</v>
      </c>
      <c r="J58" s="33">
        <f t="shared" si="10"/>
        <v>2.6591503704894565E-2</v>
      </c>
    </row>
    <row r="59" spans="1:10">
      <c r="A59" s="5" t="s">
        <v>63</v>
      </c>
      <c r="B59" s="5" t="s">
        <v>103</v>
      </c>
      <c r="C59" s="32">
        <f>C46/'P&amp;L'!B$8</f>
        <v>1.9068872214008759E-2</v>
      </c>
      <c r="D59" s="32">
        <f>D46/'P&amp;L'!C$8</f>
        <v>2.2425581817500768E-2</v>
      </c>
      <c r="E59" s="32">
        <f>E46/'P&amp;L'!D$8</f>
        <v>2.6173009860933152E-2</v>
      </c>
      <c r="F59" s="32">
        <f>F46/'P&amp;L'!E$8</f>
        <v>2.933520928596553E-2</v>
      </c>
      <c r="G59" s="32">
        <f>G46/'P&amp;L'!F$8</f>
        <v>2.4133319617323321E-2</v>
      </c>
      <c r="H59" s="33">
        <f t="shared" si="10"/>
        <v>2.6547179588074E-2</v>
      </c>
      <c r="I59" s="33">
        <f t="shared" si="10"/>
        <v>2.6671902830454283E-2</v>
      </c>
      <c r="J59" s="33">
        <f t="shared" si="10"/>
        <v>2.5784134011950535E-2</v>
      </c>
    </row>
    <row r="60" spans="1:10">
      <c r="A60" s="5" t="s">
        <v>64</v>
      </c>
      <c r="B60" s="5" t="s">
        <v>103</v>
      </c>
      <c r="C60" s="32">
        <f>C47/'P&amp;L'!B$8</f>
        <v>5.383692711093754E-3</v>
      </c>
      <c r="D60" s="32">
        <f>D47/'P&amp;L'!C$8</f>
        <v>1.0845418214194127E-2</v>
      </c>
      <c r="E60" s="32">
        <f>E47/'P&amp;L'!D$8</f>
        <v>1.2679348361752158E-2</v>
      </c>
      <c r="F60" s="32">
        <f>F47/'P&amp;L'!E$8</f>
        <v>8.3948880290772663E-3</v>
      </c>
      <c r="G60" s="32">
        <f>G47/'P&amp;L'!F$8</f>
        <v>6.7071288962040941E-3</v>
      </c>
      <c r="H60" s="33">
        <f t="shared" si="10"/>
        <v>9.2604550956778397E-3</v>
      </c>
      <c r="I60" s="33">
        <f t="shared" si="10"/>
        <v>8.1208240069864015E-3</v>
      </c>
      <c r="J60" s="33">
        <f t="shared" si="10"/>
        <v>8.0294693329561115E-3</v>
      </c>
    </row>
    <row r="61" spans="1:10">
      <c r="A61" s="5"/>
      <c r="B61" s="5"/>
      <c r="C61" s="5"/>
      <c r="D61" s="5"/>
      <c r="E61" s="5"/>
      <c r="F61" s="5"/>
      <c r="G61" s="5"/>
      <c r="H61" s="24"/>
      <c r="I61" s="24"/>
      <c r="J6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zoomScale="130" zoomScaleNormal="130" workbookViewId="0">
      <pane xSplit="1" ySplit="4" topLeftCell="B21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35" bestFit="1" customWidth="1"/>
    <col min="2" max="5" width="11.5703125" bestFit="1" customWidth="1"/>
    <col min="6" max="9" width="10.5703125" bestFit="1" customWidth="1"/>
    <col min="10" max="10" width="11.5703125" bestFit="1" customWidth="1"/>
  </cols>
  <sheetData>
    <row r="1" spans="1:10" ht="28.5">
      <c r="A1" s="1"/>
    </row>
    <row r="2" spans="1:10">
      <c r="A2" s="2" t="s">
        <v>8</v>
      </c>
    </row>
    <row r="4" spans="1:10">
      <c r="A4" s="14" t="s">
        <v>10</v>
      </c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</row>
    <row r="5" spans="1:10">
      <c r="A5" s="5"/>
      <c r="B5" s="5"/>
      <c r="C5" s="5"/>
      <c r="D5" s="5"/>
      <c r="E5" s="5"/>
      <c r="F5" s="5"/>
      <c r="G5" s="5"/>
      <c r="H5" s="5"/>
      <c r="I5" s="5"/>
    </row>
    <row r="6" spans="1:10">
      <c r="A6" s="5" t="s">
        <v>9</v>
      </c>
      <c r="B6" s="6">
        <v>40102</v>
      </c>
      <c r="C6" s="6">
        <v>38614.1</v>
      </c>
      <c r="D6" s="6">
        <v>48114.7</v>
      </c>
      <c r="E6" s="6">
        <v>47823</v>
      </c>
      <c r="F6" s="6">
        <v>53768</v>
      </c>
      <c r="G6" s="17">
        <f>Assumptions!H23</f>
        <v>53397.111608887237</v>
      </c>
      <c r="H6" s="17">
        <f>Assumptions!I23</f>
        <v>53397.111608887237</v>
      </c>
      <c r="I6" s="17">
        <f>Assumptions!J23</f>
        <v>53397.111608887237</v>
      </c>
      <c r="J6" s="9"/>
    </row>
    <row r="7" spans="1:10">
      <c r="A7" s="5" t="s">
        <v>11</v>
      </c>
      <c r="B7" s="6">
        <v>4253</v>
      </c>
      <c r="C7" s="6">
        <v>3908.2</v>
      </c>
      <c r="D7" s="6">
        <v>5502.1</v>
      </c>
      <c r="E7" s="6">
        <v>5178</v>
      </c>
      <c r="F7" s="6">
        <v>5163</v>
      </c>
      <c r="G7" s="17">
        <f>G6*Assumptions!H19</f>
        <v>5127.385940274602</v>
      </c>
      <c r="H7" s="17">
        <f>H6*Assumptions!I19</f>
        <v>5127.385940274602</v>
      </c>
      <c r="I7" s="17">
        <f>I6*Assumptions!J19</f>
        <v>5127.385940274602</v>
      </c>
    </row>
    <row r="8" spans="1:10">
      <c r="A8" s="5" t="s">
        <v>12</v>
      </c>
      <c r="B8" s="6">
        <f t="shared" ref="B8:F8" si="0">B6-B7</f>
        <v>35849</v>
      </c>
      <c r="C8" s="6">
        <f t="shared" si="0"/>
        <v>34705.9</v>
      </c>
      <c r="D8" s="6">
        <f t="shared" si="0"/>
        <v>42612.6</v>
      </c>
      <c r="E8" s="6">
        <f t="shared" si="0"/>
        <v>42645</v>
      </c>
      <c r="F8" s="6">
        <f t="shared" si="0"/>
        <v>48605</v>
      </c>
      <c r="G8" s="17">
        <f>G6-G7</f>
        <v>48269.725668612635</v>
      </c>
      <c r="H8" s="17">
        <f>H6-H7</f>
        <v>48269.725668612635</v>
      </c>
      <c r="I8" s="17">
        <f>I6-I7</f>
        <v>48269.725668612635</v>
      </c>
    </row>
    <row r="9" spans="1:10">
      <c r="A9" s="5" t="s">
        <v>13</v>
      </c>
      <c r="B9" s="6">
        <v>769.4</v>
      </c>
      <c r="C9" s="6">
        <v>881.2</v>
      </c>
      <c r="D9" s="6">
        <v>975.3</v>
      </c>
      <c r="E9" s="6">
        <v>1056</v>
      </c>
      <c r="F9" s="6">
        <v>1365</v>
      </c>
      <c r="G9" s="41">
        <f>G8*Assumptions!H21</f>
        <v>1355.5843130882881</v>
      </c>
      <c r="H9" s="41">
        <f>H8*Assumptions!I21</f>
        <v>1355.5843130882881</v>
      </c>
      <c r="I9" s="41">
        <f>I8*Assumptions!J21</f>
        <v>1355.5843130882881</v>
      </c>
    </row>
    <row r="10" spans="1:10">
      <c r="A10" s="5" t="s">
        <v>14</v>
      </c>
      <c r="B10" s="6">
        <v>508.8</v>
      </c>
      <c r="C10" s="6">
        <v>826.8</v>
      </c>
      <c r="D10" s="6">
        <v>812.4</v>
      </c>
      <c r="E10" s="6">
        <v>823</v>
      </c>
      <c r="F10" s="6">
        <v>832</v>
      </c>
      <c r="G10" s="17">
        <f>F10</f>
        <v>832</v>
      </c>
      <c r="H10" s="17">
        <f>G10</f>
        <v>832</v>
      </c>
      <c r="I10" s="17">
        <f>H10</f>
        <v>832</v>
      </c>
    </row>
    <row r="11" spans="1:10">
      <c r="A11" s="5"/>
      <c r="B11" s="6"/>
      <c r="C11" s="6"/>
      <c r="D11" s="6"/>
      <c r="E11" s="6"/>
      <c r="F11" s="6"/>
      <c r="G11" s="17"/>
      <c r="H11" s="17"/>
      <c r="I11" s="17"/>
    </row>
    <row r="12" spans="1:10">
      <c r="A12" s="4" t="s">
        <v>31</v>
      </c>
      <c r="B12" s="6">
        <f>B8+B9</f>
        <v>36618.400000000001</v>
      </c>
      <c r="C12" s="6">
        <f t="shared" ref="C12:F12" si="1">C8+C9</f>
        <v>35587.1</v>
      </c>
      <c r="D12" s="6">
        <f t="shared" si="1"/>
        <v>43587.9</v>
      </c>
      <c r="E12" s="6">
        <f t="shared" si="1"/>
        <v>43701</v>
      </c>
      <c r="F12" s="6">
        <f t="shared" si="1"/>
        <v>49970</v>
      </c>
      <c r="G12" s="17">
        <f>G8+G9</f>
        <v>49625.309981700921</v>
      </c>
      <c r="H12" s="17">
        <f>H8+H9</f>
        <v>49625.309981700921</v>
      </c>
      <c r="I12" s="17">
        <f>I8+I9</f>
        <v>49625.309981700921</v>
      </c>
    </row>
    <row r="13" spans="1:10">
      <c r="A13" s="5"/>
      <c r="B13" s="5"/>
      <c r="C13" s="5"/>
      <c r="D13" s="5"/>
      <c r="E13" s="5"/>
      <c r="F13" s="5"/>
      <c r="G13" s="24"/>
      <c r="H13" s="24"/>
      <c r="I13" s="24"/>
    </row>
    <row r="14" spans="1:10">
      <c r="A14" s="4" t="s">
        <v>15</v>
      </c>
      <c r="B14" s="5"/>
      <c r="C14" s="5"/>
      <c r="D14" s="5"/>
      <c r="E14" s="5"/>
      <c r="F14" s="5"/>
      <c r="G14" s="24"/>
      <c r="H14" s="24"/>
      <c r="I14" s="24"/>
    </row>
    <row r="15" spans="1:10">
      <c r="A15" s="5" t="s">
        <v>16</v>
      </c>
      <c r="B15" s="6">
        <v>27141.8</v>
      </c>
      <c r="C15" s="6">
        <v>26707</v>
      </c>
      <c r="D15" s="6">
        <v>30574.1</v>
      </c>
      <c r="E15" s="6">
        <v>28899</v>
      </c>
      <c r="F15" s="6">
        <v>32799</v>
      </c>
      <c r="G15" s="17">
        <f>G$8*Assumptions!H28</f>
        <v>32119.899954735898</v>
      </c>
      <c r="H15" s="17">
        <f>H$8*Assumptions!I28</f>
        <v>32119.899954735898</v>
      </c>
      <c r="I15" s="17">
        <f>I$8*Assumptions!J28</f>
        <v>32119.899954735898</v>
      </c>
    </row>
    <row r="16" spans="1:10">
      <c r="A16" s="5" t="s">
        <v>17</v>
      </c>
      <c r="B16" s="6">
        <v>1278.0999999999999</v>
      </c>
      <c r="C16" s="6">
        <v>1532.5</v>
      </c>
      <c r="D16" s="6">
        <v>1961.3</v>
      </c>
      <c r="E16" s="6">
        <v>2431</v>
      </c>
      <c r="F16" s="6">
        <v>2665</v>
      </c>
      <c r="G16" s="17">
        <f>G$8*Assumptions!H29</f>
        <v>2646.6169922199915</v>
      </c>
      <c r="H16" s="17">
        <f>H$8*Assumptions!I29</f>
        <v>2646.6169922199915</v>
      </c>
      <c r="I16" s="17">
        <f>I$8*Assumptions!J29</f>
        <v>2646.6169922199915</v>
      </c>
    </row>
    <row r="17" spans="1:9">
      <c r="A17" s="5" t="s">
        <v>18</v>
      </c>
      <c r="B17" s="6">
        <v>-56</v>
      </c>
      <c r="C17" s="6">
        <v>-131</v>
      </c>
      <c r="D17" s="6">
        <v>23</v>
      </c>
      <c r="E17" s="6">
        <v>18</v>
      </c>
      <c r="F17" s="6">
        <v>-456</v>
      </c>
      <c r="G17" s="17"/>
      <c r="H17" s="17"/>
      <c r="I17" s="17"/>
    </row>
    <row r="18" spans="1:9">
      <c r="A18" s="5" t="s">
        <v>19</v>
      </c>
      <c r="B18" s="6">
        <v>703.6</v>
      </c>
      <c r="C18" s="6">
        <v>843.8</v>
      </c>
      <c r="D18" s="6">
        <v>1069.5999999999999</v>
      </c>
      <c r="E18" s="6">
        <v>1368</v>
      </c>
      <c r="F18" s="6">
        <v>1606</v>
      </c>
      <c r="G18" s="17">
        <f>Assumptions!H30*'P&amp;L'!G$8</f>
        <v>1594.9219097580885</v>
      </c>
      <c r="H18" s="17">
        <f>Assumptions!I30*'P&amp;L'!H$8</f>
        <v>1594.9219097580885</v>
      </c>
      <c r="I18" s="17">
        <f>Assumptions!J30*'P&amp;L'!I$8</f>
        <v>1594.9219097580885</v>
      </c>
    </row>
    <row r="19" spans="1:9">
      <c r="A19" s="5" t="s">
        <v>22</v>
      </c>
      <c r="B19" s="6">
        <v>3938.1</v>
      </c>
      <c r="C19" s="6">
        <v>4164.7</v>
      </c>
      <c r="D19" s="6">
        <v>5773.7</v>
      </c>
      <c r="E19" s="6">
        <v>5922</v>
      </c>
      <c r="F19" s="6">
        <v>6643</v>
      </c>
      <c r="G19" s="17">
        <f>Assumptions!H31*'P&amp;L'!G$8</f>
        <v>6597.176990363002</v>
      </c>
      <c r="H19" s="17">
        <f>Assumptions!I31*'P&amp;L'!H$8</f>
        <v>6597.176990363002</v>
      </c>
      <c r="I19" s="17">
        <f>Assumptions!J31*'P&amp;L'!I$8</f>
        <v>6597.176990363002</v>
      </c>
    </row>
    <row r="20" spans="1:9">
      <c r="A20" s="5" t="s">
        <v>23</v>
      </c>
      <c r="B20" s="6">
        <v>-25</v>
      </c>
      <c r="C20" s="6">
        <v>-42</v>
      </c>
      <c r="D20" s="6">
        <v>-44</v>
      </c>
      <c r="E20" s="6">
        <v>-34</v>
      </c>
      <c r="F20" s="6"/>
      <c r="G20" s="40"/>
      <c r="H20" s="40"/>
      <c r="I20" s="40"/>
    </row>
    <row r="21" spans="1:9">
      <c r="A21" s="5"/>
      <c r="B21" s="6"/>
      <c r="C21" s="6"/>
      <c r="D21" s="6"/>
      <c r="E21" s="6"/>
      <c r="F21" s="5"/>
      <c r="G21" s="24"/>
      <c r="H21" s="24"/>
      <c r="I21" s="24"/>
    </row>
    <row r="22" spans="1:9">
      <c r="A22" s="4" t="s">
        <v>24</v>
      </c>
      <c r="B22" s="7">
        <f>SUM(B15:B20)</f>
        <v>32980.6</v>
      </c>
      <c r="C22" s="7">
        <f t="shared" ref="C22:F22" si="2">SUM(C15:C20)</f>
        <v>33075</v>
      </c>
      <c r="D22" s="7">
        <f t="shared" si="2"/>
        <v>39357.699999999997</v>
      </c>
      <c r="E22" s="7">
        <f t="shared" si="2"/>
        <v>38604</v>
      </c>
      <c r="F22" s="7">
        <f t="shared" si="2"/>
        <v>43257</v>
      </c>
      <c r="G22" s="18">
        <f>SUM(G15:G19)</f>
        <v>42958.615847076981</v>
      </c>
      <c r="H22" s="18">
        <f>SUM(H15:H19)</f>
        <v>42958.615847076981</v>
      </c>
      <c r="I22" s="18">
        <f>SUM(I15:I19)</f>
        <v>42958.615847076981</v>
      </c>
    </row>
    <row r="23" spans="1:9">
      <c r="A23" s="5"/>
      <c r="B23" s="5"/>
      <c r="C23" s="5"/>
      <c r="D23" s="5"/>
      <c r="E23" s="5"/>
      <c r="F23" s="5"/>
      <c r="G23" s="24"/>
      <c r="H23" s="24"/>
      <c r="I23" s="24"/>
    </row>
    <row r="24" spans="1:9">
      <c r="A24" s="4" t="s">
        <v>25</v>
      </c>
      <c r="B24" s="34">
        <f>B12-B22</f>
        <v>3637.8000000000029</v>
      </c>
      <c r="C24" s="34">
        <f t="shared" ref="C24:E24" si="3">C12-C22</f>
        <v>2512.0999999999985</v>
      </c>
      <c r="D24" s="34">
        <f t="shared" si="3"/>
        <v>4230.2000000000044</v>
      </c>
      <c r="E24" s="34">
        <f t="shared" si="3"/>
        <v>5097</v>
      </c>
      <c r="F24" s="34">
        <f t="shared" ref="F24" si="4">F12-F22</f>
        <v>6713</v>
      </c>
      <c r="G24" s="34">
        <f>G12-G22</f>
        <v>6666.69413462394</v>
      </c>
      <c r="H24" s="34">
        <f>H12-H22</f>
        <v>6666.69413462394</v>
      </c>
      <c r="I24" s="34">
        <f>I12-I22</f>
        <v>6666.69413462394</v>
      </c>
    </row>
    <row r="25" spans="1:9" s="11" customFormat="1">
      <c r="A25" s="35" t="s">
        <v>26</v>
      </c>
      <c r="B25" s="36">
        <f>B24/B8</f>
        <v>0.10147563390889573</v>
      </c>
      <c r="C25" s="36">
        <f t="shared" ref="C25:E25" si="5">C24/C8</f>
        <v>7.2382505568217459E-2</v>
      </c>
      <c r="D25" s="36">
        <f t="shared" si="5"/>
        <v>9.9271107606670433E-2</v>
      </c>
      <c r="E25" s="36">
        <f t="shared" si="5"/>
        <v>0.11952163207879</v>
      </c>
      <c r="F25" s="36">
        <f t="shared" ref="F25" si="6">F24/F8</f>
        <v>0.13811336282275485</v>
      </c>
      <c r="G25" s="36">
        <f>G24/G8</f>
        <v>0.13811336282275485</v>
      </c>
      <c r="H25" s="36">
        <f>H24/H8</f>
        <v>0.13811336282275485</v>
      </c>
      <c r="I25" s="36">
        <f>I24/I8</f>
        <v>0.13811336282275485</v>
      </c>
    </row>
    <row r="26" spans="1:9">
      <c r="A26" s="5"/>
      <c r="B26" s="5"/>
      <c r="C26" s="5"/>
      <c r="D26" s="5"/>
      <c r="E26" s="5"/>
      <c r="F26" s="5"/>
      <c r="G26" s="24"/>
      <c r="H26" s="24"/>
      <c r="I26" s="24"/>
    </row>
    <row r="27" spans="1:9">
      <c r="A27" s="8" t="s">
        <v>21</v>
      </c>
      <c r="B27" s="37">
        <v>1013.5</v>
      </c>
      <c r="C27" s="37">
        <v>1138.4000000000001</v>
      </c>
      <c r="D27" s="37">
        <v>1861.2</v>
      </c>
      <c r="E27" s="37">
        <v>2085</v>
      </c>
      <c r="F27" s="37">
        <v>2470</v>
      </c>
      <c r="G27" s="17">
        <f>F27</f>
        <v>2470</v>
      </c>
      <c r="H27" s="17">
        <f>G27</f>
        <v>2470</v>
      </c>
      <c r="I27" s="17">
        <f>H27</f>
        <v>2470</v>
      </c>
    </row>
    <row r="28" spans="1:9">
      <c r="A28" s="5"/>
      <c r="B28" s="6"/>
      <c r="C28" s="6"/>
      <c r="D28" s="6"/>
      <c r="E28" s="6"/>
      <c r="F28" s="5"/>
      <c r="G28" s="17"/>
      <c r="H28" s="17"/>
      <c r="I28" s="17"/>
    </row>
    <row r="29" spans="1:9">
      <c r="A29" s="4" t="s">
        <v>27</v>
      </c>
      <c r="B29" s="7">
        <f>B24-B27</f>
        <v>2624.3000000000029</v>
      </c>
      <c r="C29" s="7">
        <f t="shared" ref="C29:F29" si="7">C24-C27</f>
        <v>1373.6999999999985</v>
      </c>
      <c r="D29" s="7">
        <f t="shared" si="7"/>
        <v>2369.0000000000045</v>
      </c>
      <c r="E29" s="7">
        <f t="shared" si="7"/>
        <v>3012</v>
      </c>
      <c r="F29" s="7">
        <f t="shared" si="7"/>
        <v>4243</v>
      </c>
      <c r="G29" s="7">
        <f>G24-G27</f>
        <v>4196.69413462394</v>
      </c>
      <c r="H29" s="7">
        <f>H24-H27</f>
        <v>4196.69413462394</v>
      </c>
      <c r="I29" s="7">
        <f>I24-I27</f>
        <v>4196.69413462394</v>
      </c>
    </row>
    <row r="30" spans="1:9">
      <c r="A30" s="5"/>
      <c r="B30" s="6"/>
      <c r="C30" s="6"/>
      <c r="D30" s="6"/>
      <c r="E30" s="6"/>
      <c r="F30" s="5"/>
      <c r="G30" s="17"/>
      <c r="H30" s="17"/>
      <c r="I30" s="17"/>
    </row>
    <row r="31" spans="1:9">
      <c r="A31" s="5" t="s">
        <v>20</v>
      </c>
      <c r="B31" s="6">
        <v>25</v>
      </c>
      <c r="C31" s="6">
        <v>55.2</v>
      </c>
      <c r="D31" s="6">
        <v>189.8</v>
      </c>
      <c r="E31" s="6">
        <v>176</v>
      </c>
      <c r="F31" s="6">
        <v>206</v>
      </c>
      <c r="G31" s="17">
        <f>F31</f>
        <v>206</v>
      </c>
      <c r="H31" s="17">
        <f>G31</f>
        <v>206</v>
      </c>
      <c r="I31" s="17">
        <f>H31</f>
        <v>206</v>
      </c>
    </row>
    <row r="32" spans="1:9">
      <c r="A32" s="5"/>
      <c r="B32" s="6"/>
      <c r="C32" s="6"/>
      <c r="D32" s="6"/>
      <c r="E32" s="6"/>
      <c r="F32" s="5"/>
      <c r="G32" s="17"/>
      <c r="H32" s="17"/>
      <c r="I32" s="17"/>
    </row>
    <row r="33" spans="1:9">
      <c r="A33" s="4" t="s">
        <v>28</v>
      </c>
      <c r="B33" s="7">
        <f>B29-B31+B10</f>
        <v>3108.1000000000031</v>
      </c>
      <c r="C33" s="7">
        <f t="shared" ref="C33:F33" si="8">C29-C31+C10</f>
        <v>2145.2999999999984</v>
      </c>
      <c r="D33" s="7">
        <f t="shared" si="8"/>
        <v>2991.6000000000045</v>
      </c>
      <c r="E33" s="7">
        <f t="shared" si="8"/>
        <v>3659</v>
      </c>
      <c r="F33" s="7">
        <f t="shared" si="8"/>
        <v>4869</v>
      </c>
      <c r="G33" s="7">
        <f>G29-G31+G10</f>
        <v>4822.69413462394</v>
      </c>
      <c r="H33" s="7">
        <f>H29-H31+H10</f>
        <v>4822.69413462394</v>
      </c>
      <c r="I33" s="7">
        <f>I29-I31+I10</f>
        <v>4822.69413462394</v>
      </c>
    </row>
    <row r="34" spans="1:9">
      <c r="A34" s="5"/>
      <c r="B34" s="6"/>
      <c r="C34" s="6"/>
      <c r="D34" s="6"/>
      <c r="E34" s="6"/>
      <c r="F34" s="5"/>
      <c r="G34" s="17"/>
      <c r="H34" s="17"/>
      <c r="I34" s="17"/>
    </row>
    <row r="35" spans="1:9">
      <c r="A35" s="5" t="s">
        <v>29</v>
      </c>
      <c r="B35" s="6">
        <f>810.1+10.1</f>
        <v>820.2</v>
      </c>
      <c r="C35" s="6">
        <f>413.8+97.2</f>
        <v>511</v>
      </c>
      <c r="D35" s="6">
        <f>722.8-90.4-33.5</f>
        <v>598.9</v>
      </c>
      <c r="E35" s="6">
        <f>748+128</f>
        <v>876</v>
      </c>
      <c r="F35" s="6">
        <v>1157</v>
      </c>
      <c r="G35" s="17">
        <f>G33*Assumptions!H34</f>
        <v>1145.9965318874304</v>
      </c>
      <c r="H35" s="17">
        <f>H33*Assumptions!I34</f>
        <v>1145.9965318874304</v>
      </c>
      <c r="I35" s="17">
        <f>I33*Assumptions!J34</f>
        <v>1145.9965318874304</v>
      </c>
    </row>
    <row r="36" spans="1:9">
      <c r="A36" s="5"/>
      <c r="B36" s="6"/>
      <c r="C36" s="6"/>
      <c r="D36" s="6"/>
      <c r="E36" s="6"/>
      <c r="F36" s="5"/>
      <c r="G36" s="17"/>
      <c r="H36" s="17"/>
      <c r="I36" s="17"/>
    </row>
    <row r="37" spans="1:9">
      <c r="A37" s="4" t="s">
        <v>30</v>
      </c>
      <c r="B37" s="7">
        <f>B33-B35</f>
        <v>2287.9000000000033</v>
      </c>
      <c r="C37" s="7">
        <f t="shared" ref="C37:F37" si="9">C33-C35</f>
        <v>1634.2999999999984</v>
      </c>
      <c r="D37" s="7">
        <f t="shared" si="9"/>
        <v>2392.7000000000044</v>
      </c>
      <c r="E37" s="7">
        <f t="shared" si="9"/>
        <v>2783</v>
      </c>
      <c r="F37" s="7">
        <f t="shared" si="9"/>
        <v>3712</v>
      </c>
      <c r="G37" s="7">
        <f>G33-G35</f>
        <v>3676.6976027365099</v>
      </c>
      <c r="H37" s="7">
        <f>H33-H35</f>
        <v>3676.6976027365099</v>
      </c>
      <c r="I37" s="7">
        <f>I33-I35</f>
        <v>3676.6976027365099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"/>
  <sheetViews>
    <sheetView zoomScale="130" zoomScaleNormal="130" workbookViewId="0">
      <pane xSplit="1" ySplit="5" topLeftCell="C6" activePane="bottomRight" state="frozen"/>
      <selection pane="topRight" activeCell="B1" sqref="B1"/>
      <selection pane="bottomLeft" activeCell="A7" sqref="A7"/>
      <selection pane="bottomRight" activeCell="G1" sqref="G1"/>
    </sheetView>
  </sheetViews>
  <sheetFormatPr defaultRowHeight="15"/>
  <cols>
    <col min="1" max="1" width="30.28515625" bestFit="1" customWidth="1"/>
    <col min="2" max="5" width="10.5703125" bestFit="1" customWidth="1"/>
    <col min="6" max="6" width="11.140625" bestFit="1" customWidth="1"/>
  </cols>
  <sheetData>
    <row r="1" spans="1:9" ht="28.5">
      <c r="A1" s="1"/>
    </row>
    <row r="2" spans="1:9">
      <c r="A2" s="2" t="s">
        <v>8</v>
      </c>
    </row>
    <row r="4" spans="1:9" s="12" customFormat="1">
      <c r="A4" s="15" t="s">
        <v>10</v>
      </c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4" t="s">
        <v>7</v>
      </c>
    </row>
    <row r="5" spans="1:9" s="12" customFormat="1">
      <c r="A5" s="15" t="s">
        <v>32</v>
      </c>
      <c r="B5" s="15"/>
      <c r="C5" s="15"/>
      <c r="D5" s="15"/>
      <c r="E5" s="15"/>
      <c r="F5" s="15"/>
      <c r="G5" s="15"/>
      <c r="H5" s="15"/>
      <c r="I5" s="15"/>
    </row>
    <row r="6" spans="1:9">
      <c r="A6" s="4" t="s">
        <v>33</v>
      </c>
      <c r="B6" s="5"/>
      <c r="C6" s="5"/>
      <c r="D6" s="5"/>
      <c r="E6" s="5"/>
      <c r="F6" s="5"/>
      <c r="G6" s="5"/>
      <c r="H6" s="5"/>
      <c r="I6" s="5"/>
    </row>
    <row r="7" spans="1:9">
      <c r="A7" s="5" t="s">
        <v>34</v>
      </c>
      <c r="B7" s="6">
        <v>144.5</v>
      </c>
      <c r="C7" s="6">
        <v>144.5</v>
      </c>
      <c r="D7" s="6">
        <v>151</v>
      </c>
      <c r="E7" s="6">
        <v>151</v>
      </c>
      <c r="F7" s="6">
        <v>151</v>
      </c>
      <c r="G7" s="17"/>
      <c r="H7" s="17"/>
      <c r="I7" s="17"/>
    </row>
    <row r="8" spans="1:9">
      <c r="A8" s="5" t="s">
        <v>35</v>
      </c>
      <c r="B8" s="6">
        <v>13723</v>
      </c>
      <c r="C8" s="6">
        <v>15042.9</v>
      </c>
      <c r="D8" s="6">
        <v>18427.900000000001</v>
      </c>
      <c r="E8" s="6">
        <v>20827</v>
      </c>
      <c r="F8" s="6">
        <v>23553</v>
      </c>
      <c r="G8" s="17"/>
      <c r="H8" s="17"/>
      <c r="I8" s="17"/>
    </row>
    <row r="9" spans="1:9">
      <c r="A9" s="4" t="s">
        <v>36</v>
      </c>
      <c r="B9" s="7">
        <f>B7+B8</f>
        <v>13867.5</v>
      </c>
      <c r="C9" s="7">
        <f t="shared" ref="C9:F9" si="0">C7+C8</f>
        <v>15187.4</v>
      </c>
      <c r="D9" s="7">
        <f t="shared" si="0"/>
        <v>18578.900000000001</v>
      </c>
      <c r="E9" s="7">
        <f t="shared" si="0"/>
        <v>20978</v>
      </c>
      <c r="F9" s="7">
        <f t="shared" si="0"/>
        <v>23704</v>
      </c>
      <c r="G9" s="18"/>
      <c r="H9" s="18"/>
      <c r="I9" s="18"/>
    </row>
    <row r="10" spans="1:9">
      <c r="A10" s="4"/>
      <c r="B10" s="7"/>
      <c r="C10" s="7"/>
      <c r="D10" s="7"/>
      <c r="E10" s="7"/>
      <c r="F10" s="6"/>
      <c r="G10" s="17"/>
      <c r="H10" s="17"/>
      <c r="I10" s="17"/>
    </row>
    <row r="11" spans="1:9">
      <c r="A11" s="4" t="s">
        <v>37</v>
      </c>
      <c r="B11" s="6"/>
      <c r="C11" s="6"/>
      <c r="D11" s="6"/>
      <c r="E11" s="6"/>
      <c r="F11" s="6"/>
      <c r="G11" s="17"/>
      <c r="H11" s="17"/>
      <c r="I11" s="17"/>
    </row>
    <row r="12" spans="1:9">
      <c r="A12" s="5" t="s">
        <v>38</v>
      </c>
      <c r="B12" s="6">
        <v>139</v>
      </c>
      <c r="C12" s="6">
        <v>0</v>
      </c>
      <c r="D12" s="6">
        <v>542.9</v>
      </c>
      <c r="E12" s="6">
        <v>460</v>
      </c>
      <c r="F12" s="6">
        <v>145</v>
      </c>
      <c r="G12" s="17"/>
      <c r="H12" s="17"/>
      <c r="I12" s="17"/>
    </row>
    <row r="13" spans="1:9">
      <c r="A13" s="8" t="s">
        <v>39</v>
      </c>
      <c r="B13" s="6">
        <v>164.4</v>
      </c>
      <c r="C13" s="6">
        <v>302.3</v>
      </c>
      <c r="D13" s="6">
        <v>408.7</v>
      </c>
      <c r="E13" s="6">
        <v>587</v>
      </c>
      <c r="F13" s="6">
        <v>481</v>
      </c>
      <c r="G13" s="17"/>
      <c r="H13" s="17"/>
      <c r="I13" s="17"/>
    </row>
    <row r="14" spans="1:9">
      <c r="A14" s="8" t="s">
        <v>40</v>
      </c>
      <c r="B14" s="6">
        <v>95.9</v>
      </c>
      <c r="C14" s="6">
        <v>96.6</v>
      </c>
      <c r="D14" s="6">
        <v>103.6</v>
      </c>
      <c r="E14" s="6">
        <v>239</v>
      </c>
      <c r="F14" s="6">
        <v>105</v>
      </c>
      <c r="G14" s="17"/>
      <c r="H14" s="17"/>
      <c r="I14" s="17"/>
    </row>
    <row r="15" spans="1:9">
      <c r="A15" s="8" t="s">
        <v>41</v>
      </c>
      <c r="B15" s="6">
        <v>139.6</v>
      </c>
      <c r="C15" s="6">
        <v>168.3</v>
      </c>
      <c r="D15" s="6">
        <v>225.9</v>
      </c>
      <c r="E15" s="6">
        <v>198</v>
      </c>
      <c r="F15" s="6">
        <v>293</v>
      </c>
      <c r="G15" s="17"/>
      <c r="H15" s="17"/>
      <c r="I15" s="17"/>
    </row>
    <row r="16" spans="1:9">
      <c r="A16" s="4" t="s">
        <v>48</v>
      </c>
      <c r="B16" s="7">
        <f t="shared" ref="B16:F16" si="1">SUM(B12:B15)</f>
        <v>538.9</v>
      </c>
      <c r="C16" s="7">
        <f t="shared" si="1"/>
        <v>567.20000000000005</v>
      </c>
      <c r="D16" s="7">
        <f t="shared" si="1"/>
        <v>1281.0999999999999</v>
      </c>
      <c r="E16" s="7">
        <f t="shared" si="1"/>
        <v>1484</v>
      </c>
      <c r="F16" s="7">
        <f t="shared" si="1"/>
        <v>1024</v>
      </c>
      <c r="G16" s="18"/>
      <c r="H16" s="18"/>
      <c r="I16" s="18"/>
    </row>
    <row r="17" spans="1:9">
      <c r="A17" s="5"/>
      <c r="B17" s="6"/>
      <c r="C17" s="6"/>
      <c r="D17" s="6"/>
      <c r="E17" s="6"/>
      <c r="F17" s="6"/>
      <c r="G17" s="17"/>
      <c r="H17" s="17"/>
      <c r="I17" s="17"/>
    </row>
    <row r="18" spans="1:9">
      <c r="A18" s="4" t="s">
        <v>42</v>
      </c>
      <c r="B18" s="6"/>
      <c r="C18" s="6"/>
      <c r="D18" s="6"/>
      <c r="E18" s="6"/>
      <c r="F18" s="6"/>
      <c r="G18" s="17"/>
      <c r="H18" s="17"/>
      <c r="I18" s="17"/>
    </row>
    <row r="19" spans="1:9">
      <c r="A19" s="5" t="s">
        <v>43</v>
      </c>
      <c r="B19" s="6">
        <v>31.2</v>
      </c>
      <c r="C19" s="6">
        <v>1078.3</v>
      </c>
      <c r="D19" s="6">
        <v>846.3</v>
      </c>
      <c r="E19" s="6">
        <v>1225</v>
      </c>
      <c r="F19" s="6">
        <v>35</v>
      </c>
      <c r="G19" s="17"/>
      <c r="H19" s="17"/>
      <c r="I19" s="17"/>
    </row>
    <row r="20" spans="1:9">
      <c r="A20" s="5" t="s">
        <v>44</v>
      </c>
      <c r="B20" s="6">
        <v>2608.3000000000002</v>
      </c>
      <c r="C20" s="6">
        <v>3349.9</v>
      </c>
      <c r="D20" s="6">
        <v>4167.3999999999996</v>
      </c>
      <c r="E20" s="6">
        <v>4897</v>
      </c>
      <c r="F20" s="6">
        <v>5561</v>
      </c>
      <c r="G20" s="17"/>
      <c r="H20" s="17"/>
      <c r="I20" s="17"/>
    </row>
    <row r="21" spans="1:9">
      <c r="A21" s="5" t="s">
        <v>45</v>
      </c>
      <c r="B21" s="6">
        <v>993</v>
      </c>
      <c r="C21" s="6">
        <v>1589.2</v>
      </c>
      <c r="D21" s="6">
        <v>1166.0999999999999</v>
      </c>
      <c r="E21" s="6">
        <v>1274</v>
      </c>
      <c r="F21" s="6">
        <v>1866</v>
      </c>
      <c r="G21" s="17"/>
      <c r="H21" s="17"/>
      <c r="I21" s="17"/>
    </row>
    <row r="22" spans="1:9">
      <c r="A22" s="5" t="s">
        <v>46</v>
      </c>
      <c r="B22" s="6">
        <v>386.2</v>
      </c>
      <c r="C22" s="6">
        <v>530.20000000000005</v>
      </c>
      <c r="D22" s="6">
        <v>648.20000000000005</v>
      </c>
      <c r="E22" s="6">
        <v>678</v>
      </c>
      <c r="F22" s="6">
        <v>1360</v>
      </c>
      <c r="G22" s="17"/>
      <c r="H22" s="17"/>
      <c r="I22" s="17"/>
    </row>
    <row r="23" spans="1:9">
      <c r="A23" s="4" t="s">
        <v>49</v>
      </c>
      <c r="B23" s="7">
        <f t="shared" ref="B23:F23" si="2">SUM(B19:B22)</f>
        <v>4018.7</v>
      </c>
      <c r="C23" s="7">
        <f t="shared" si="2"/>
        <v>6547.5999999999995</v>
      </c>
      <c r="D23" s="7">
        <f t="shared" si="2"/>
        <v>6827.9999999999991</v>
      </c>
      <c r="E23" s="7">
        <f t="shared" si="2"/>
        <v>8074</v>
      </c>
      <c r="F23" s="7">
        <f t="shared" si="2"/>
        <v>8822</v>
      </c>
      <c r="G23" s="18"/>
      <c r="H23" s="18"/>
      <c r="I23" s="18"/>
    </row>
    <row r="24" spans="1:9">
      <c r="A24" s="5"/>
      <c r="B24" s="6"/>
      <c r="C24" s="6"/>
      <c r="D24" s="6"/>
      <c r="E24" s="6"/>
      <c r="F24" s="6"/>
      <c r="G24" s="18"/>
      <c r="H24" s="18"/>
      <c r="I24" s="18"/>
    </row>
    <row r="25" spans="1:9">
      <c r="A25" s="4" t="s">
        <v>50</v>
      </c>
      <c r="B25" s="7">
        <f t="shared" ref="B25:F25" si="3">B9+B16+B23</f>
        <v>18425.099999999999</v>
      </c>
      <c r="C25" s="7">
        <f t="shared" si="3"/>
        <v>22302.2</v>
      </c>
      <c r="D25" s="7">
        <f t="shared" si="3"/>
        <v>26688</v>
      </c>
      <c r="E25" s="7">
        <f t="shared" si="3"/>
        <v>30536</v>
      </c>
      <c r="F25" s="7">
        <f t="shared" si="3"/>
        <v>33550</v>
      </c>
      <c r="G25" s="18"/>
      <c r="H25" s="18"/>
      <c r="I25" s="18"/>
    </row>
    <row r="26" spans="1:9">
      <c r="A26" s="5"/>
      <c r="B26" s="6"/>
      <c r="C26" s="6"/>
      <c r="D26" s="6"/>
      <c r="E26" s="6"/>
      <c r="F26" s="6"/>
      <c r="G26" s="17"/>
      <c r="H26" s="17"/>
      <c r="I26" s="17"/>
    </row>
    <row r="27" spans="1:9">
      <c r="A27" s="4" t="s">
        <v>47</v>
      </c>
      <c r="B27" s="6"/>
      <c r="C27" s="6"/>
      <c r="D27" s="6"/>
      <c r="E27" s="6"/>
      <c r="F27" s="6"/>
      <c r="G27" s="17"/>
      <c r="H27" s="17"/>
      <c r="I27" s="17"/>
    </row>
    <row r="28" spans="1:9">
      <c r="A28" s="5"/>
      <c r="B28" s="6"/>
      <c r="C28" s="6"/>
      <c r="D28" s="6"/>
      <c r="E28" s="6"/>
      <c r="F28" s="6"/>
      <c r="G28" s="17"/>
      <c r="H28" s="17"/>
      <c r="I28" s="17"/>
    </row>
    <row r="29" spans="1:9">
      <c r="A29" s="4" t="s">
        <v>51</v>
      </c>
      <c r="B29" s="6"/>
      <c r="C29" s="6"/>
      <c r="D29" s="6"/>
      <c r="E29" s="6"/>
      <c r="F29" s="6"/>
      <c r="G29" s="17"/>
      <c r="H29" s="17"/>
      <c r="I29" s="17"/>
    </row>
    <row r="30" spans="1:9">
      <c r="A30" s="5" t="s">
        <v>52</v>
      </c>
      <c r="B30" s="6">
        <v>5483.7</v>
      </c>
      <c r="C30" s="6">
        <v>7310.8</v>
      </c>
      <c r="D30" s="6">
        <v>9576.5</v>
      </c>
      <c r="E30" s="6">
        <v>10608</v>
      </c>
      <c r="F30" s="6"/>
      <c r="G30" s="17"/>
      <c r="H30" s="17"/>
      <c r="I30" s="17"/>
    </row>
    <row r="31" spans="1:9">
      <c r="A31" s="8" t="s">
        <v>53</v>
      </c>
      <c r="B31" s="6">
        <v>45.7</v>
      </c>
      <c r="C31" s="6">
        <v>209.9</v>
      </c>
      <c r="D31" s="6">
        <v>222.7</v>
      </c>
      <c r="E31" s="6">
        <v>183</v>
      </c>
      <c r="F31" s="6"/>
      <c r="G31" s="17"/>
      <c r="H31" s="17"/>
      <c r="I31" s="17"/>
    </row>
    <row r="32" spans="1:9">
      <c r="A32" s="8" t="s">
        <v>54</v>
      </c>
      <c r="B32" s="6">
        <v>862.5</v>
      </c>
      <c r="C32" s="6">
        <v>611.4</v>
      </c>
      <c r="D32" s="6">
        <v>1942.2</v>
      </c>
      <c r="E32" s="6">
        <v>2621</v>
      </c>
      <c r="F32" s="6"/>
      <c r="G32" s="17"/>
      <c r="H32" s="17"/>
      <c r="I32" s="17"/>
    </row>
    <row r="33" spans="1:9">
      <c r="A33" s="4" t="s">
        <v>55</v>
      </c>
      <c r="B33" s="7">
        <f>SUM(B30:B32)</f>
        <v>6391.9</v>
      </c>
      <c r="C33" s="7">
        <f>SUM(C30:C32)</f>
        <v>8132.0999999999995</v>
      </c>
      <c r="D33" s="7">
        <f>SUM(D30:D32)</f>
        <v>11741.400000000001</v>
      </c>
      <c r="E33" s="7">
        <f>SUM(E30:E32)</f>
        <v>13412</v>
      </c>
      <c r="F33" s="7">
        <v>14142</v>
      </c>
      <c r="G33" s="17"/>
      <c r="H33" s="17"/>
      <c r="I33" s="17"/>
    </row>
    <row r="34" spans="1:9">
      <c r="A34" s="5"/>
      <c r="B34" s="6"/>
      <c r="C34" s="6"/>
      <c r="D34" s="6"/>
      <c r="E34" s="6"/>
      <c r="F34" s="6"/>
      <c r="G34" s="17"/>
      <c r="H34" s="17"/>
      <c r="I34" s="17"/>
    </row>
    <row r="35" spans="1:9">
      <c r="A35" s="5" t="s">
        <v>56</v>
      </c>
      <c r="B35" s="6">
        <v>1111.2</v>
      </c>
      <c r="C35" s="6">
        <v>1393.3</v>
      </c>
      <c r="D35" s="6">
        <v>1848.5</v>
      </c>
      <c r="E35" s="6">
        <v>1305</v>
      </c>
      <c r="F35" s="6">
        <v>9817</v>
      </c>
      <c r="G35" s="17"/>
      <c r="H35" s="17"/>
      <c r="I35" s="17"/>
    </row>
    <row r="36" spans="1:9">
      <c r="A36" s="5" t="s">
        <v>57</v>
      </c>
      <c r="B36" s="6">
        <v>1254.7</v>
      </c>
      <c r="C36" s="6">
        <v>1671.5</v>
      </c>
      <c r="D36" s="6">
        <v>1278.7</v>
      </c>
      <c r="E36" s="6">
        <v>1638</v>
      </c>
      <c r="F36" s="6">
        <v>1349</v>
      </c>
      <c r="G36" s="17"/>
      <c r="H36" s="17"/>
      <c r="I36" s="17"/>
    </row>
    <row r="37" spans="1:9">
      <c r="A37" s="5" t="s">
        <v>58</v>
      </c>
      <c r="B37" s="6">
        <v>47.1</v>
      </c>
      <c r="C37" s="6">
        <v>26.3</v>
      </c>
      <c r="D37" s="6">
        <v>894.6</v>
      </c>
      <c r="E37" s="6">
        <v>9</v>
      </c>
      <c r="F37" s="6">
        <v>44</v>
      </c>
      <c r="G37" s="17"/>
      <c r="H37" s="17"/>
      <c r="I37" s="17"/>
    </row>
    <row r="38" spans="1:9">
      <c r="A38" s="5"/>
      <c r="B38" s="6"/>
      <c r="C38" s="6"/>
      <c r="D38" s="6"/>
      <c r="E38" s="6"/>
      <c r="F38" s="6"/>
      <c r="G38" s="17"/>
      <c r="H38" s="17"/>
      <c r="I38" s="17"/>
    </row>
    <row r="39" spans="1:9">
      <c r="A39" s="4" t="s">
        <v>59</v>
      </c>
      <c r="B39" s="6"/>
      <c r="C39" s="6"/>
      <c r="D39" s="6"/>
      <c r="E39" s="6"/>
      <c r="F39" s="6"/>
      <c r="G39" s="17"/>
      <c r="H39" s="17"/>
      <c r="I39" s="17"/>
    </row>
    <row r="40" spans="1:9">
      <c r="A40" s="5" t="s">
        <v>60</v>
      </c>
      <c r="B40" s="6">
        <v>3995.6</v>
      </c>
      <c r="C40" s="6">
        <v>4754.1000000000004</v>
      </c>
      <c r="D40" s="6">
        <v>5229.8</v>
      </c>
      <c r="E40" s="6">
        <v>8813</v>
      </c>
      <c r="F40" s="6">
        <v>2996</v>
      </c>
      <c r="G40" s="17"/>
      <c r="H40" s="17"/>
      <c r="I40" s="17"/>
    </row>
    <row r="41" spans="1:9">
      <c r="A41" s="5" t="s">
        <v>61</v>
      </c>
      <c r="B41" s="6">
        <v>1415</v>
      </c>
      <c r="C41" s="6">
        <v>1796.5</v>
      </c>
      <c r="D41" s="6">
        <v>1840.7</v>
      </c>
      <c r="E41" s="6">
        <v>1706</v>
      </c>
      <c r="F41" s="6">
        <v>2615</v>
      </c>
      <c r="G41" s="17"/>
      <c r="H41" s="17"/>
      <c r="I41" s="17"/>
    </row>
    <row r="42" spans="1:9">
      <c r="A42" s="5" t="s">
        <v>84</v>
      </c>
      <c r="B42" s="6">
        <v>824.5</v>
      </c>
      <c r="C42" s="6">
        <v>937.6</v>
      </c>
      <c r="D42" s="6">
        <v>1423.7</v>
      </c>
      <c r="E42" s="6">
        <v>1414</v>
      </c>
      <c r="F42" s="6">
        <v>1070</v>
      </c>
      <c r="G42" s="17"/>
      <c r="H42" s="17"/>
      <c r="I42" s="17"/>
    </row>
    <row r="43" spans="1:9">
      <c r="A43" s="5" t="s">
        <v>62</v>
      </c>
      <c r="B43" s="6">
        <v>2508.5</v>
      </c>
      <c r="C43" s="6">
        <v>2436.1</v>
      </c>
      <c r="D43" s="6">
        <v>775</v>
      </c>
      <c r="E43" s="6">
        <v>630</v>
      </c>
      <c r="F43" s="6">
        <v>18</v>
      </c>
      <c r="G43" s="17"/>
      <c r="H43" s="17"/>
      <c r="I43" s="17"/>
    </row>
    <row r="44" spans="1:9">
      <c r="A44" s="5" t="s">
        <v>63</v>
      </c>
      <c r="B44" s="6">
        <v>683.6</v>
      </c>
      <c r="C44" s="6">
        <v>778.3</v>
      </c>
      <c r="D44" s="6">
        <v>1115.3</v>
      </c>
      <c r="E44" s="6">
        <v>1251</v>
      </c>
      <c r="F44" s="6">
        <v>1173</v>
      </c>
      <c r="G44" s="17"/>
      <c r="H44" s="17"/>
      <c r="I44" s="17"/>
    </row>
    <row r="45" spans="1:9">
      <c r="A45" s="5" t="s">
        <v>64</v>
      </c>
      <c r="B45" s="6">
        <v>193</v>
      </c>
      <c r="C45" s="6">
        <v>376.4</v>
      </c>
      <c r="D45" s="6">
        <v>540.29999999999995</v>
      </c>
      <c r="E45" s="6">
        <v>358</v>
      </c>
      <c r="F45" s="6">
        <v>326</v>
      </c>
      <c r="G45" s="17"/>
      <c r="H45" s="17"/>
      <c r="I45" s="17"/>
    </row>
    <row r="46" spans="1:9">
      <c r="A46" s="4" t="s">
        <v>65</v>
      </c>
      <c r="B46" s="7">
        <f t="shared" ref="B46:F46" si="4">SUM(B40:B45)</f>
        <v>9620.2000000000007</v>
      </c>
      <c r="C46" s="7">
        <f t="shared" si="4"/>
        <v>11079</v>
      </c>
      <c r="D46" s="7">
        <f t="shared" si="4"/>
        <v>10924.8</v>
      </c>
      <c r="E46" s="7">
        <f t="shared" si="4"/>
        <v>14172</v>
      </c>
      <c r="F46" s="7">
        <f t="shared" si="4"/>
        <v>8198</v>
      </c>
      <c r="G46" s="18"/>
      <c r="H46" s="18"/>
      <c r="I46" s="18"/>
    </row>
    <row r="47" spans="1:9">
      <c r="A47" s="5"/>
      <c r="B47" s="6"/>
      <c r="C47" s="6"/>
      <c r="D47" s="6"/>
      <c r="E47" s="6"/>
      <c r="F47" s="6"/>
      <c r="G47" s="17"/>
      <c r="H47" s="17"/>
      <c r="I47" s="17"/>
    </row>
    <row r="48" spans="1:9">
      <c r="A48" s="4" t="s">
        <v>66</v>
      </c>
      <c r="B48" s="7">
        <f t="shared" ref="B48:F48" si="5">B33+B35+B36+B37+B46</f>
        <v>18425.099999999999</v>
      </c>
      <c r="C48" s="7">
        <f t="shared" si="5"/>
        <v>22302.199999999997</v>
      </c>
      <c r="D48" s="7">
        <f t="shared" si="5"/>
        <v>26688</v>
      </c>
      <c r="E48" s="7">
        <f t="shared" si="5"/>
        <v>30536</v>
      </c>
      <c r="F48" s="7">
        <f t="shared" si="5"/>
        <v>33550</v>
      </c>
      <c r="G48" s="18"/>
      <c r="H48" s="18"/>
      <c r="I48" s="18"/>
    </row>
    <row r="49" spans="1:9">
      <c r="F49" s="3"/>
      <c r="G49" s="3"/>
      <c r="H49" s="3"/>
      <c r="I49" s="3"/>
    </row>
    <row r="50" spans="1:9">
      <c r="F50" s="3"/>
      <c r="G50" s="3"/>
      <c r="H50" s="3"/>
      <c r="I50" s="3"/>
    </row>
    <row r="51" spans="1:9">
      <c r="A51" t="s">
        <v>67</v>
      </c>
      <c r="B51" s="10">
        <f>B48-B25</f>
        <v>0</v>
      </c>
      <c r="C51" s="10">
        <f t="shared" ref="C51:G51" si="6">C48-C25</f>
        <v>0</v>
      </c>
      <c r="D51" s="10">
        <f t="shared" si="6"/>
        <v>0</v>
      </c>
      <c r="E51" s="10">
        <f t="shared" si="6"/>
        <v>0</v>
      </c>
      <c r="F51" s="10">
        <f t="shared" si="6"/>
        <v>0</v>
      </c>
      <c r="G51" s="10">
        <f t="shared" si="6"/>
        <v>0</v>
      </c>
      <c r="H51" s="10"/>
      <c r="I51" s="10"/>
    </row>
    <row r="53" spans="1:9">
      <c r="A53" t="s">
        <v>100</v>
      </c>
      <c r="B53" s="10">
        <f>(B41+B42+B44+B45)-B23</f>
        <v>-902.59999999999991</v>
      </c>
      <c r="C53" s="10">
        <f t="shared" ref="C53:G53" si="7">(C41+C42+C44+C45)-C23</f>
        <v>-2658.7999999999997</v>
      </c>
      <c r="D53" s="10">
        <f t="shared" si="7"/>
        <v>-1907.9999999999991</v>
      </c>
      <c r="E53" s="10">
        <f t="shared" si="7"/>
        <v>-3345</v>
      </c>
      <c r="F53" s="10">
        <f t="shared" si="7"/>
        <v>-3638</v>
      </c>
      <c r="G53" s="10"/>
      <c r="H53" s="10"/>
      <c r="I53" s="10"/>
    </row>
    <row r="54" spans="1:9">
      <c r="A54" t="s">
        <v>99</v>
      </c>
      <c r="C54" s="10">
        <f>C53-B53</f>
        <v>-1756.1999999999998</v>
      </c>
      <c r="D54" s="10">
        <f t="shared" ref="D54:G54" si="8">D53-C53</f>
        <v>750.80000000000064</v>
      </c>
      <c r="E54" s="10">
        <f t="shared" si="8"/>
        <v>-1437.0000000000009</v>
      </c>
      <c r="F54" s="10">
        <f t="shared" si="8"/>
        <v>-293</v>
      </c>
      <c r="G54" s="10"/>
      <c r="H54" s="10"/>
      <c r="I5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zoomScale="130" zoomScaleNormal="130" workbookViewId="0">
      <pane xSplit="1" ySplit="5" topLeftCell="B13" activePane="bottomRight" state="frozen"/>
      <selection pane="topRight" activeCell="B1" sqref="B1"/>
      <selection pane="bottomLeft" activeCell="A6" sqref="A6"/>
      <selection pane="bottomRight"/>
    </sheetView>
  </sheetViews>
  <sheetFormatPr defaultRowHeight="15"/>
  <cols>
    <col min="1" max="1" width="33.85546875" bestFit="1" customWidth="1"/>
    <col min="2" max="2" width="9.28515625" bestFit="1" customWidth="1"/>
    <col min="3" max="3" width="10.5703125" bestFit="1" customWidth="1"/>
  </cols>
  <sheetData>
    <row r="1" spans="1:5" ht="28.5">
      <c r="A1" s="1"/>
    </row>
    <row r="2" spans="1:5">
      <c r="A2" s="2" t="s">
        <v>8</v>
      </c>
    </row>
    <row r="4" spans="1:5" s="12" customFormat="1">
      <c r="A4" s="15" t="s">
        <v>10</v>
      </c>
      <c r="B4" s="14"/>
      <c r="C4" s="14" t="s">
        <v>5</v>
      </c>
      <c r="D4" s="14" t="s">
        <v>6</v>
      </c>
      <c r="E4" s="14" t="s">
        <v>7</v>
      </c>
    </row>
    <row r="5" spans="1:5" s="12" customFormat="1">
      <c r="A5" s="15"/>
      <c r="B5" s="15"/>
      <c r="C5" s="15"/>
      <c r="D5" s="15"/>
      <c r="E5" s="15"/>
    </row>
    <row r="6" spans="1:5">
      <c r="A6" s="5"/>
      <c r="B6" s="6"/>
      <c r="C6" s="6"/>
      <c r="D6" s="6"/>
      <c r="E6" s="6"/>
    </row>
    <row r="7" spans="1:5">
      <c r="A7" s="5" t="s">
        <v>86</v>
      </c>
      <c r="B7" s="6"/>
      <c r="C7" s="6">
        <f>'P&amp;L'!G37</f>
        <v>3676.6976027365099</v>
      </c>
      <c r="D7" s="6"/>
      <c r="E7" s="6"/>
    </row>
    <row r="8" spans="1:5">
      <c r="A8" s="5" t="s">
        <v>87</v>
      </c>
      <c r="B8" s="6"/>
      <c r="C8" s="6">
        <f>'P&amp;L'!G27</f>
        <v>2470</v>
      </c>
      <c r="D8" s="6"/>
      <c r="E8" s="6"/>
    </row>
    <row r="9" spans="1:5">
      <c r="A9" s="5" t="s">
        <v>88</v>
      </c>
      <c r="B9" s="6"/>
      <c r="C9" s="6">
        <f>'Balance Sheet'!G54</f>
        <v>0</v>
      </c>
      <c r="D9" s="6"/>
      <c r="E9" s="6"/>
    </row>
    <row r="10" spans="1:5">
      <c r="A10" s="5"/>
      <c r="B10" s="6"/>
      <c r="C10" s="6"/>
      <c r="D10" s="6"/>
      <c r="E10" s="6"/>
    </row>
    <row r="11" spans="1:5">
      <c r="A11" s="4" t="s">
        <v>89</v>
      </c>
      <c r="B11" s="6"/>
      <c r="C11" s="7">
        <f>C7+C8-C9</f>
        <v>6146.6976027365099</v>
      </c>
      <c r="D11" s="7"/>
      <c r="E11" s="7"/>
    </row>
    <row r="12" spans="1:5">
      <c r="A12" s="5"/>
      <c r="B12" s="6"/>
      <c r="C12" s="6"/>
      <c r="D12" s="6"/>
      <c r="E12" s="6"/>
    </row>
    <row r="13" spans="1:5">
      <c r="A13" s="5"/>
      <c r="B13" s="6"/>
      <c r="C13" s="6"/>
      <c r="D13" s="6"/>
      <c r="E13" s="6"/>
    </row>
    <row r="14" spans="1:5">
      <c r="A14" s="5" t="s">
        <v>85</v>
      </c>
      <c r="B14" s="6"/>
      <c r="C14" s="6">
        <v>0</v>
      </c>
      <c r="D14" s="6"/>
      <c r="E14" s="6"/>
    </row>
    <row r="15" spans="1:5">
      <c r="A15" s="5" t="s">
        <v>90</v>
      </c>
      <c r="B15" s="6"/>
      <c r="C15" s="6">
        <v>0</v>
      </c>
      <c r="D15" s="6"/>
      <c r="E15" s="6"/>
    </row>
    <row r="16" spans="1:5">
      <c r="A16" s="5"/>
      <c r="B16" s="6"/>
      <c r="C16" s="6"/>
      <c r="D16" s="6"/>
      <c r="E16" s="6"/>
    </row>
    <row r="17" spans="1:5">
      <c r="A17" s="4" t="s">
        <v>91</v>
      </c>
      <c r="B17" s="6"/>
      <c r="C17" s="7">
        <f>C14+C15</f>
        <v>0</v>
      </c>
      <c r="D17" s="7"/>
      <c r="E17" s="7"/>
    </row>
    <row r="18" spans="1:5">
      <c r="A18" s="5"/>
      <c r="B18" s="6"/>
      <c r="C18" s="6"/>
      <c r="D18" s="6"/>
      <c r="E18" s="6"/>
    </row>
    <row r="19" spans="1:5">
      <c r="A19" s="5"/>
      <c r="B19" s="6"/>
      <c r="C19" s="6"/>
      <c r="D19" s="6"/>
      <c r="E19" s="6"/>
    </row>
    <row r="20" spans="1:5">
      <c r="A20" s="5" t="s">
        <v>92</v>
      </c>
      <c r="B20" s="6"/>
      <c r="C20" s="6">
        <f>'Balance Sheet'!G12-'Balance Sheet'!F12</f>
        <v>-145</v>
      </c>
      <c r="D20" s="6"/>
      <c r="E20" s="6"/>
    </row>
    <row r="21" spans="1:5">
      <c r="A21" s="5" t="s">
        <v>93</v>
      </c>
      <c r="B21" s="6"/>
      <c r="C21" s="6">
        <f>'Balance Sheet'!G7-'Balance Sheet'!F7</f>
        <v>-151</v>
      </c>
      <c r="D21" s="6"/>
      <c r="E21" s="6"/>
    </row>
    <row r="22" spans="1:5">
      <c r="A22" s="5" t="s">
        <v>94</v>
      </c>
      <c r="B22" s="6"/>
      <c r="C22" s="6">
        <v>0</v>
      </c>
      <c r="D22" s="6"/>
      <c r="E22" s="6"/>
    </row>
    <row r="23" spans="1:5">
      <c r="A23" s="5"/>
      <c r="B23" s="6"/>
      <c r="C23" s="6"/>
      <c r="D23" s="6"/>
      <c r="E23" s="6"/>
    </row>
    <row r="24" spans="1:5">
      <c r="A24" s="4" t="s">
        <v>95</v>
      </c>
      <c r="B24" s="6"/>
      <c r="C24" s="7">
        <f>C20+C21+C22</f>
        <v>-296</v>
      </c>
      <c r="D24" s="7"/>
      <c r="E24" s="7"/>
    </row>
    <row r="25" spans="1:5">
      <c r="A25" s="5"/>
      <c r="B25" s="6"/>
      <c r="C25" s="6"/>
      <c r="D25" s="6"/>
      <c r="E25" s="6"/>
    </row>
    <row r="26" spans="1:5">
      <c r="A26" s="19" t="s">
        <v>96</v>
      </c>
      <c r="B26" s="20"/>
      <c r="C26" s="20">
        <f>C11+C17+C24</f>
        <v>5850.6976027365099</v>
      </c>
      <c r="D26" s="20"/>
      <c r="E26" s="20"/>
    </row>
    <row r="27" spans="1:5">
      <c r="A27" s="21" t="s">
        <v>97</v>
      </c>
      <c r="B27" s="13"/>
      <c r="C27" s="13">
        <f>B28</f>
        <v>18</v>
      </c>
      <c r="D27" s="13">
        <f>C28</f>
        <v>5868.6976027365099</v>
      </c>
      <c r="E27" s="13">
        <f>D28</f>
        <v>5868.6976027365099</v>
      </c>
    </row>
    <row r="28" spans="1:5" ht="15.75" thickBot="1">
      <c r="A28" s="22" t="s">
        <v>98</v>
      </c>
      <c r="B28" s="23">
        <f>'Balance Sheet'!F43</f>
        <v>18</v>
      </c>
      <c r="C28" s="23">
        <f>C26+C27</f>
        <v>5868.6976027365099</v>
      </c>
      <c r="D28" s="23">
        <f>D26+D27</f>
        <v>5868.6976027365099</v>
      </c>
      <c r="E28" s="23">
        <f>E26+E27</f>
        <v>5868.6976027365099</v>
      </c>
    </row>
    <row r="29" spans="1:5">
      <c r="B29" s="3"/>
      <c r="C29" s="3"/>
      <c r="D29" s="3"/>
      <c r="E29" s="3"/>
    </row>
    <row r="30" spans="1:5">
      <c r="B30" s="3"/>
      <c r="C30" s="3"/>
      <c r="D30" s="3"/>
      <c r="E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Assumptions</vt:lpstr>
      <vt:lpstr>P&amp;L</vt:lpstr>
      <vt:lpstr>Balance Sheet</vt:lpstr>
      <vt:lpstr>Cash Flow Statement</vt:lpstr>
    </vt:vector>
  </TitlesOfParts>
  <Company>FinShiksha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FinShiksha</dc:creator>
  <cp:lastModifiedBy>UMA S S</cp:lastModifiedBy>
  <dcterms:created xsi:type="dcterms:W3CDTF">2015-04-01T16:51:09Z</dcterms:created>
  <dcterms:modified xsi:type="dcterms:W3CDTF">2022-01-04T08:50:55Z</dcterms:modified>
</cp:coreProperties>
</file>