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ink/ink3.xml" ContentType="application/inkml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2.xml" ContentType="application/vnd.openxmlformats-officedocument.drawing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4.xml" ContentType="application/vnd.openxmlformats-officedocument.drawing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6.xml" ContentType="application/vnd.openxmlformats-officedocument.drawing+xml"/>
  <Override PartName="/xl/charts/chart4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3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4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18.xml" ContentType="application/vnd.openxmlformats-officedocument.drawing+xml"/>
  <Override PartName="/xl/charts/chart55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6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9.xml" ContentType="application/vnd.openxmlformats-officedocument.drawing+xml"/>
  <Override PartName="/xl/charts/chart57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8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20.xml" ContentType="application/vnd.openxmlformats-officedocument.drawing+xml"/>
  <Override PartName="/xl/charts/chart59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0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21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Ambiente de Trabalho\CEN entrega\"/>
    </mc:Choice>
  </mc:AlternateContent>
  <xr:revisionPtr revIDLastSave="0" documentId="8_{6B429408-8458-4848-9EF3-DD115C95ABB8}" xr6:coauthVersionLast="47" xr6:coauthVersionMax="47" xr10:uidLastSave="{00000000-0000-0000-0000-000000000000}"/>
  <bookViews>
    <workbookView xWindow="-110" yWindow="-110" windowWidth="22620" windowHeight="13500" tabRatio="808" firstSheet="22" activeTab="23" xr2:uid="{23C25EDD-E7E8-4F4C-B432-0C6082C1434E}"/>
  </bookViews>
  <sheets>
    <sheet name="Prelude" sheetId="2" r:id="rId1"/>
    <sheet name="OffSet da Hull" sheetId="1" r:id="rId2"/>
    <sheet name="Secção Mestra" sheetId="3" r:id="rId3"/>
    <sheet name="Secção Longitudinal" sheetId="4" r:id="rId4"/>
    <sheet name="Curvas de Bojean" sheetId="5" r:id="rId5"/>
    <sheet name="LW" sheetId="7" r:id="rId6"/>
    <sheet name="Tanques" sheetId="8" r:id="rId7"/>
    <sheet name="Tanques Carga" sheetId="10" r:id="rId8"/>
    <sheet name="DW" sheetId="9" r:id="rId9"/>
    <sheet name="DW + LW" sheetId="12" r:id="rId10"/>
    <sheet name="SW Buoyancy Cargo" sheetId="11" r:id="rId11"/>
    <sheet name="SW Buoyancy Sagging Cargo" sheetId="15" r:id="rId12"/>
    <sheet name="SW Buoyancy Hogging Cargo" sheetId="19" r:id="rId13"/>
    <sheet name="SW Buoyancy Ballast" sheetId="14" r:id="rId14"/>
    <sheet name="SW Buoyancy Sagging Ballast" sheetId="20" r:id="rId15"/>
    <sheet name="SW Buoyancy Hogging Ballast" sheetId="22" r:id="rId16"/>
    <sheet name="SF and BM (Still Water)" sheetId="23" r:id="rId17"/>
    <sheet name="SF and BM (Sagging)" sheetId="24" r:id="rId18"/>
    <sheet name="SF and BM (Hogging)" sheetId="25" r:id="rId19"/>
    <sheet name="Classification Society" sheetId="26" r:id="rId20"/>
    <sheet name="Normal Stress" sheetId="28" r:id="rId21"/>
    <sheet name="Vertical Displacement (Cargo)" sheetId="27" r:id="rId22"/>
    <sheet name="Vertical Displacement (Ballast)" sheetId="29" r:id="rId23"/>
    <sheet name="Shear Stress Distibution" sheetId="30" r:id="rId24"/>
  </sheets>
  <externalReferences>
    <externalReference r:id="rId25"/>
  </externalReferences>
  <definedNames>
    <definedName name="LBP">#REF!</definedName>
    <definedName name="solver_adj" localSheetId="5" hidden="1">LW!$F$93</definedName>
    <definedName name="solver_adj" localSheetId="2" hidden="1">'Secção Mestra'!$E$18</definedName>
    <definedName name="solver_adj" localSheetId="13" hidden="1">'SW Buoyancy Ballast'!$H$4,'SW Buoyancy Ballast'!$H$5</definedName>
    <definedName name="solver_adj" localSheetId="10" hidden="1">'SW Buoyancy Cargo'!$H$4:$H$5</definedName>
    <definedName name="solver_adj" localSheetId="15" hidden="1">'SW Buoyancy Hogging Ballast'!$H$4,'SW Buoyancy Hogging Ballast'!$H$5</definedName>
    <definedName name="solver_adj" localSheetId="12" hidden="1">'SW Buoyancy Hogging Cargo'!$H$4,'SW Buoyancy Hogging Cargo'!$H$5</definedName>
    <definedName name="solver_adj" localSheetId="14" hidden="1">'SW Buoyancy Sagging Ballast'!$H$4,'SW Buoyancy Sagging Ballast'!$H$5</definedName>
    <definedName name="solver_adj" localSheetId="11" hidden="1">'SW Buoyancy Sagging Cargo'!$H$4,'SW Buoyancy Sagging Cargo'!$H$5</definedName>
    <definedName name="solver_cvg" localSheetId="5" hidden="1">"""0,0001"""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6" hidden="1">"0,0001"</definedName>
    <definedName name="solver_cvg" localSheetId="13" hidden="1">0.0001</definedName>
    <definedName name="solver_cvg" localSheetId="10" hidden="1">0.0001</definedName>
    <definedName name="solver_cvg" localSheetId="15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7" hidden="1">0.0001</definedName>
    <definedName name="solver_drv" localSheetId="5" hidden="1">1</definedName>
    <definedName name="solver_drv" localSheetId="2" hidden="1">1</definedName>
    <definedName name="solver_drv" localSheetId="16" hidden="1">2</definedName>
    <definedName name="solver_drv" localSheetId="13" hidden="1">1</definedName>
    <definedName name="solver_drv" localSheetId="10" hidden="1">1</definedName>
    <definedName name="solver_drv" localSheetId="15" hidden="1">1</definedName>
    <definedName name="solver_drv" localSheetId="12" hidden="1">1</definedName>
    <definedName name="solver_drv" localSheetId="14" hidden="1">1</definedName>
    <definedName name="solver_drv" localSheetId="11" hidden="1">1</definedName>
    <definedName name="solver_drv" localSheetId="7" hidden="1">1</definedName>
    <definedName name="solver_eng" localSheetId="19" hidden="1">1</definedName>
    <definedName name="solver_eng" localSheetId="5" hidden="1">1</definedName>
    <definedName name="solver_eng" localSheetId="2" hidden="1">1</definedName>
    <definedName name="solver_eng" localSheetId="16" hidden="1">1</definedName>
    <definedName name="solver_eng" localSheetId="13" hidden="1">1</definedName>
    <definedName name="solver_eng" localSheetId="10" hidden="1">1</definedName>
    <definedName name="solver_eng" localSheetId="15" hidden="1">1</definedName>
    <definedName name="solver_eng" localSheetId="12" hidden="1">1</definedName>
    <definedName name="solver_eng" localSheetId="14" hidden="1">1</definedName>
    <definedName name="solver_eng" localSheetId="11" hidden="1">1</definedName>
    <definedName name="solver_eng" localSheetId="7" hidden="1">1</definedName>
    <definedName name="solver_est" localSheetId="5" hidden="1">1</definedName>
    <definedName name="solver_est" localSheetId="2" hidden="1">1</definedName>
    <definedName name="solver_est" localSheetId="16" hidden="1">1</definedName>
    <definedName name="solver_est" localSheetId="13" hidden="1">1</definedName>
    <definedName name="solver_est" localSheetId="10" hidden="1">1</definedName>
    <definedName name="solver_est" localSheetId="15" hidden="1">1</definedName>
    <definedName name="solver_est" localSheetId="12" hidden="1">1</definedName>
    <definedName name="solver_est" localSheetId="14" hidden="1">1</definedName>
    <definedName name="solver_est" localSheetId="11" hidden="1">1</definedName>
    <definedName name="solver_est" localSheetId="7" hidden="1">1</definedName>
    <definedName name="solver_itr" localSheetId="5" hidden="1">2147483647</definedName>
    <definedName name="solver_itr" localSheetId="2" hidden="1">2147483647</definedName>
    <definedName name="solver_itr" localSheetId="16" hidden="1">2147483647</definedName>
    <definedName name="solver_itr" localSheetId="13" hidden="1">2147483647</definedName>
    <definedName name="solver_itr" localSheetId="10" hidden="1">2147483647</definedName>
    <definedName name="solver_itr" localSheetId="15" hidden="1">2147483647</definedName>
    <definedName name="solver_itr" localSheetId="12" hidden="1">2147483647</definedName>
    <definedName name="solver_itr" localSheetId="14" hidden="1">2147483647</definedName>
    <definedName name="solver_itr" localSheetId="11" hidden="1">2147483647</definedName>
    <definedName name="solver_itr" localSheetId="7" hidden="1">2147483647</definedName>
    <definedName name="solver_lhs1" localSheetId="13" hidden="1">'SW Buoyancy Ballast'!$N$21</definedName>
    <definedName name="solver_lhs1" localSheetId="10" hidden="1">'SW Buoyancy Cargo'!$N$21</definedName>
    <definedName name="solver_lhs1" localSheetId="15" hidden="1">'SW Buoyancy Hogging Ballast'!$P$21</definedName>
    <definedName name="solver_lhs1" localSheetId="12" hidden="1">'SW Buoyancy Hogging Cargo'!$P$21</definedName>
    <definedName name="solver_lhs1" localSheetId="14" hidden="1">'SW Buoyancy Sagging Ballast'!$P$21</definedName>
    <definedName name="solver_lhs1" localSheetId="11" hidden="1">'SW Buoyancy Sagging Cargo'!$P$21</definedName>
    <definedName name="solver_mip" localSheetId="5" hidden="1">2147483647</definedName>
    <definedName name="solver_mip" localSheetId="2" hidden="1">2147483647</definedName>
    <definedName name="solver_mip" localSheetId="16" hidden="1">2147483647</definedName>
    <definedName name="solver_mip" localSheetId="13" hidden="1">2147483647</definedName>
    <definedName name="solver_mip" localSheetId="10" hidden="1">2147483647</definedName>
    <definedName name="solver_mip" localSheetId="15" hidden="1">2147483647</definedName>
    <definedName name="solver_mip" localSheetId="12" hidden="1">2147483647</definedName>
    <definedName name="solver_mip" localSheetId="14" hidden="1">2147483647</definedName>
    <definedName name="solver_mip" localSheetId="11" hidden="1">2147483647</definedName>
    <definedName name="solver_mip" localSheetId="7" hidden="1">2147483647</definedName>
    <definedName name="solver_mni" localSheetId="5" hidden="1">30</definedName>
    <definedName name="solver_mni" localSheetId="2" hidden="1">30</definedName>
    <definedName name="solver_mni" localSheetId="16" hidden="1">30</definedName>
    <definedName name="solver_mni" localSheetId="13" hidden="1">30</definedName>
    <definedName name="solver_mni" localSheetId="10" hidden="1">30</definedName>
    <definedName name="solver_mni" localSheetId="15" hidden="1">30</definedName>
    <definedName name="solver_mni" localSheetId="12" hidden="1">30</definedName>
    <definedName name="solver_mni" localSheetId="14" hidden="1">30</definedName>
    <definedName name="solver_mni" localSheetId="11" hidden="1">30</definedName>
    <definedName name="solver_mni" localSheetId="7" hidden="1">30</definedName>
    <definedName name="solver_mrt" localSheetId="5" hidden="1">"""0,075"""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6" hidden="1">"0,075"</definedName>
    <definedName name="solver_mrt" localSheetId="13" hidden="1">0.075</definedName>
    <definedName name="solver_mrt" localSheetId="10" hidden="1">0.075</definedName>
    <definedName name="solver_mrt" localSheetId="15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7" hidden="1">0.075</definedName>
    <definedName name="solver_msl" localSheetId="5" hidden="1">2</definedName>
    <definedName name="solver_msl" localSheetId="2" hidden="1">2</definedName>
    <definedName name="solver_msl" localSheetId="16" hidden="1">2</definedName>
    <definedName name="solver_msl" localSheetId="13" hidden="1">2</definedName>
    <definedName name="solver_msl" localSheetId="10" hidden="1">2</definedName>
    <definedName name="solver_msl" localSheetId="15" hidden="1">2</definedName>
    <definedName name="solver_msl" localSheetId="12" hidden="1">2</definedName>
    <definedName name="solver_msl" localSheetId="14" hidden="1">2</definedName>
    <definedName name="solver_msl" localSheetId="11" hidden="1">2</definedName>
    <definedName name="solver_msl" localSheetId="7" hidden="1">2</definedName>
    <definedName name="solver_neg" localSheetId="19" hidden="1">1</definedName>
    <definedName name="solver_neg" localSheetId="5" hidden="1">1</definedName>
    <definedName name="solver_neg" localSheetId="2" hidden="1">1</definedName>
    <definedName name="solver_neg" localSheetId="16" hidden="1">1</definedName>
    <definedName name="solver_neg" localSheetId="13" hidden="1">2</definedName>
    <definedName name="solver_neg" localSheetId="10" hidden="1">2</definedName>
    <definedName name="solver_neg" localSheetId="15" hidden="1">2</definedName>
    <definedName name="solver_neg" localSheetId="12" hidden="1">2</definedName>
    <definedName name="solver_neg" localSheetId="14" hidden="1">2</definedName>
    <definedName name="solver_neg" localSheetId="11" hidden="1">2</definedName>
    <definedName name="solver_neg" localSheetId="7" hidden="1">1</definedName>
    <definedName name="solver_nod" localSheetId="5" hidden="1">2147483647</definedName>
    <definedName name="solver_nod" localSheetId="2" hidden="1">2147483647</definedName>
    <definedName name="solver_nod" localSheetId="16" hidden="1">2147483647</definedName>
    <definedName name="solver_nod" localSheetId="13" hidden="1">2147483647</definedName>
    <definedName name="solver_nod" localSheetId="10" hidden="1">2147483647</definedName>
    <definedName name="solver_nod" localSheetId="15" hidden="1">2147483647</definedName>
    <definedName name="solver_nod" localSheetId="12" hidden="1">2147483647</definedName>
    <definedName name="solver_nod" localSheetId="14" hidden="1">2147483647</definedName>
    <definedName name="solver_nod" localSheetId="11" hidden="1">2147483647</definedName>
    <definedName name="solver_nod" localSheetId="7" hidden="1">2147483647</definedName>
    <definedName name="solver_num" localSheetId="19" hidden="1">0</definedName>
    <definedName name="solver_num" localSheetId="5" hidden="1">0</definedName>
    <definedName name="solver_num" localSheetId="2" hidden="1">0</definedName>
    <definedName name="solver_num" localSheetId="16" hidden="1">0</definedName>
    <definedName name="solver_num" localSheetId="13" hidden="1">1</definedName>
    <definedName name="solver_num" localSheetId="10" hidden="1">1</definedName>
    <definedName name="solver_num" localSheetId="15" hidden="1">1</definedName>
    <definedName name="solver_num" localSheetId="12" hidden="1">1</definedName>
    <definedName name="solver_num" localSheetId="14" hidden="1">1</definedName>
    <definedName name="solver_num" localSheetId="11" hidden="1">1</definedName>
    <definedName name="solver_num" localSheetId="7" hidden="1">0</definedName>
    <definedName name="solver_nwt" localSheetId="5" hidden="1">1</definedName>
    <definedName name="solver_nwt" localSheetId="2" hidden="1">1</definedName>
    <definedName name="solver_nwt" localSheetId="16" hidden="1">1</definedName>
    <definedName name="solver_nwt" localSheetId="13" hidden="1">1</definedName>
    <definedName name="solver_nwt" localSheetId="10" hidden="1">1</definedName>
    <definedName name="solver_nwt" localSheetId="15" hidden="1">1</definedName>
    <definedName name="solver_nwt" localSheetId="12" hidden="1">1</definedName>
    <definedName name="solver_nwt" localSheetId="14" hidden="1">1</definedName>
    <definedName name="solver_nwt" localSheetId="11" hidden="1">1</definedName>
    <definedName name="solver_nwt" localSheetId="7" hidden="1">1</definedName>
    <definedName name="solver_opt" localSheetId="19" hidden="1">'Classification Society'!$A$1</definedName>
    <definedName name="solver_opt" localSheetId="5" hidden="1">LW!$I$103</definedName>
    <definedName name="solver_opt" localSheetId="2" hidden="1">'Secção Mestra'!$F$18</definedName>
    <definedName name="solver_opt" localSheetId="16" hidden="1">'SF and BM (Still Water)'!$N$29</definedName>
    <definedName name="solver_opt" localSheetId="13" hidden="1">'SW Buoyancy Ballast'!$N$15</definedName>
    <definedName name="solver_opt" localSheetId="10" hidden="1">'SW Buoyancy Cargo'!$N$15</definedName>
    <definedName name="solver_opt" localSheetId="15" hidden="1">'SW Buoyancy Hogging Ballast'!$P$15</definedName>
    <definedName name="solver_opt" localSheetId="12" hidden="1">'SW Buoyancy Hogging Cargo'!$P$15</definedName>
    <definedName name="solver_opt" localSheetId="14" hidden="1">'SW Buoyancy Sagging Ballast'!$P$15</definedName>
    <definedName name="solver_opt" localSheetId="11" hidden="1">'SW Buoyancy Sagging Cargo'!$P$15</definedName>
    <definedName name="solver_opt" localSheetId="7" hidden="1">'Tanques Carga'!$AB$47</definedName>
    <definedName name="solver_pre" localSheetId="5" hidden="1">"""0,000001"""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6" hidden="1">"0,000001"</definedName>
    <definedName name="solver_pre" localSheetId="13" hidden="1">0.000001</definedName>
    <definedName name="solver_pre" localSheetId="10" hidden="1">0.000001</definedName>
    <definedName name="solver_pre" localSheetId="15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7" hidden="1">0.000001</definedName>
    <definedName name="solver_rbv" localSheetId="5" hidden="1">1</definedName>
    <definedName name="solver_rbv" localSheetId="2" hidden="1">1</definedName>
    <definedName name="solver_rbv" localSheetId="16" hidden="1">2</definedName>
    <definedName name="solver_rbv" localSheetId="13" hidden="1">1</definedName>
    <definedName name="solver_rbv" localSheetId="10" hidden="1">1</definedName>
    <definedName name="solver_rbv" localSheetId="15" hidden="1">1</definedName>
    <definedName name="solver_rbv" localSheetId="12" hidden="1">1</definedName>
    <definedName name="solver_rbv" localSheetId="14" hidden="1">1</definedName>
    <definedName name="solver_rbv" localSheetId="11" hidden="1">1</definedName>
    <definedName name="solver_rbv" localSheetId="7" hidden="1">1</definedName>
    <definedName name="solver_rel1" localSheetId="13" hidden="1">2</definedName>
    <definedName name="solver_rel1" localSheetId="10" hidden="1">2</definedName>
    <definedName name="solver_rel1" localSheetId="15" hidden="1">2</definedName>
    <definedName name="solver_rel1" localSheetId="12" hidden="1">2</definedName>
    <definedName name="solver_rel1" localSheetId="14" hidden="1">2</definedName>
    <definedName name="solver_rel1" localSheetId="11" hidden="1">2</definedName>
    <definedName name="solver_rhs1" localSheetId="13" hidden="1">0</definedName>
    <definedName name="solver_rhs1" localSheetId="10" hidden="1">0</definedName>
    <definedName name="solver_rhs1" localSheetId="15" hidden="1">0</definedName>
    <definedName name="solver_rhs1" localSheetId="12" hidden="1">0</definedName>
    <definedName name="solver_rhs1" localSheetId="14" hidden="1">0</definedName>
    <definedName name="solver_rhs1" localSheetId="11" hidden="1">0</definedName>
    <definedName name="solver_rlx" localSheetId="5" hidden="1">2</definedName>
    <definedName name="solver_rlx" localSheetId="2" hidden="1">2</definedName>
    <definedName name="solver_rlx" localSheetId="16" hidden="1">2</definedName>
    <definedName name="solver_rlx" localSheetId="13" hidden="1">2</definedName>
    <definedName name="solver_rlx" localSheetId="10" hidden="1">2</definedName>
    <definedName name="solver_rlx" localSheetId="15" hidden="1">2</definedName>
    <definedName name="solver_rlx" localSheetId="12" hidden="1">2</definedName>
    <definedName name="solver_rlx" localSheetId="14" hidden="1">2</definedName>
    <definedName name="solver_rlx" localSheetId="11" hidden="1">2</definedName>
    <definedName name="solver_rlx" localSheetId="7" hidden="1">2</definedName>
    <definedName name="solver_rsd" localSheetId="5" hidden="1">0</definedName>
    <definedName name="solver_rsd" localSheetId="2" hidden="1">0</definedName>
    <definedName name="solver_rsd" localSheetId="16" hidden="1">0</definedName>
    <definedName name="solver_rsd" localSheetId="13" hidden="1">0</definedName>
    <definedName name="solver_rsd" localSheetId="10" hidden="1">0</definedName>
    <definedName name="solver_rsd" localSheetId="15" hidden="1">0</definedName>
    <definedName name="solver_rsd" localSheetId="12" hidden="1">0</definedName>
    <definedName name="solver_rsd" localSheetId="14" hidden="1">0</definedName>
    <definedName name="solver_rsd" localSheetId="11" hidden="1">0</definedName>
    <definedName name="solver_rsd" localSheetId="7" hidden="1">0</definedName>
    <definedName name="solver_scl" localSheetId="5" hidden="1">1</definedName>
    <definedName name="solver_scl" localSheetId="2" hidden="1">1</definedName>
    <definedName name="solver_scl" localSheetId="16" hidden="1">2</definedName>
    <definedName name="solver_scl" localSheetId="13" hidden="1">1</definedName>
    <definedName name="solver_scl" localSheetId="10" hidden="1">1</definedName>
    <definedName name="solver_scl" localSheetId="15" hidden="1">1</definedName>
    <definedName name="solver_scl" localSheetId="12" hidden="1">1</definedName>
    <definedName name="solver_scl" localSheetId="14" hidden="1">1</definedName>
    <definedName name="solver_scl" localSheetId="11" hidden="1">1</definedName>
    <definedName name="solver_scl" localSheetId="7" hidden="1">1</definedName>
    <definedName name="solver_sho" localSheetId="5" hidden="1">2</definedName>
    <definedName name="solver_sho" localSheetId="2" hidden="1">2</definedName>
    <definedName name="solver_sho" localSheetId="16" hidden="1">2</definedName>
    <definedName name="solver_sho" localSheetId="13" hidden="1">2</definedName>
    <definedName name="solver_sho" localSheetId="10" hidden="1">2</definedName>
    <definedName name="solver_sho" localSheetId="15" hidden="1">2</definedName>
    <definedName name="solver_sho" localSheetId="12" hidden="1">2</definedName>
    <definedName name="solver_sho" localSheetId="14" hidden="1">2</definedName>
    <definedName name="solver_sho" localSheetId="11" hidden="1">2</definedName>
    <definedName name="solver_sho" localSheetId="7" hidden="1">2</definedName>
    <definedName name="solver_ssz" localSheetId="5" hidden="1">100</definedName>
    <definedName name="solver_ssz" localSheetId="2" hidden="1">100</definedName>
    <definedName name="solver_ssz" localSheetId="16" hidden="1">100</definedName>
    <definedName name="solver_ssz" localSheetId="13" hidden="1">100</definedName>
    <definedName name="solver_ssz" localSheetId="10" hidden="1">100</definedName>
    <definedName name="solver_ssz" localSheetId="15" hidden="1">100</definedName>
    <definedName name="solver_ssz" localSheetId="12" hidden="1">100</definedName>
    <definedName name="solver_ssz" localSheetId="14" hidden="1">100</definedName>
    <definedName name="solver_ssz" localSheetId="11" hidden="1">100</definedName>
    <definedName name="solver_ssz" localSheetId="7" hidden="1">100</definedName>
    <definedName name="solver_tim" localSheetId="5" hidden="1">2147483647</definedName>
    <definedName name="solver_tim" localSheetId="2" hidden="1">2147483647</definedName>
    <definedName name="solver_tim" localSheetId="16" hidden="1">2147483647</definedName>
    <definedName name="solver_tim" localSheetId="13" hidden="1">2147483647</definedName>
    <definedName name="solver_tim" localSheetId="10" hidden="1">2147483647</definedName>
    <definedName name="solver_tim" localSheetId="15" hidden="1">2147483647</definedName>
    <definedName name="solver_tim" localSheetId="12" hidden="1">2147483647</definedName>
    <definedName name="solver_tim" localSheetId="14" hidden="1">2147483647</definedName>
    <definedName name="solver_tim" localSheetId="11" hidden="1">2147483647</definedName>
    <definedName name="solver_tim" localSheetId="7" hidden="1">2147483647</definedName>
    <definedName name="solver_tol" localSheetId="5" hidden="1">0.01</definedName>
    <definedName name="solver_tol" localSheetId="2" hidden="1">0.01</definedName>
    <definedName name="solver_tol" localSheetId="16" hidden="1">0.01</definedName>
    <definedName name="solver_tol" localSheetId="13" hidden="1">0.01</definedName>
    <definedName name="solver_tol" localSheetId="10" hidden="1">0.01</definedName>
    <definedName name="solver_tol" localSheetId="15" hidden="1">0.01</definedName>
    <definedName name="solver_tol" localSheetId="12" hidden="1">0.01</definedName>
    <definedName name="solver_tol" localSheetId="14" hidden="1">0.01</definedName>
    <definedName name="solver_tol" localSheetId="11" hidden="1">0.01</definedName>
    <definedName name="solver_tol" localSheetId="7" hidden="1">0.01</definedName>
    <definedName name="solver_typ" localSheetId="19" hidden="1">1</definedName>
    <definedName name="solver_typ" localSheetId="5" hidden="1">3</definedName>
    <definedName name="solver_typ" localSheetId="2" hidden="1">3</definedName>
    <definedName name="solver_typ" localSheetId="16" hidden="1">1</definedName>
    <definedName name="solver_typ" localSheetId="13" hidden="1">3</definedName>
    <definedName name="solver_typ" localSheetId="10" hidden="1">3</definedName>
    <definedName name="solver_typ" localSheetId="15" hidden="1">3</definedName>
    <definedName name="solver_typ" localSheetId="12" hidden="1">3</definedName>
    <definedName name="solver_typ" localSheetId="14" hidden="1">3</definedName>
    <definedName name="solver_typ" localSheetId="11" hidden="1">3</definedName>
    <definedName name="solver_typ" localSheetId="7" hidden="1">1</definedName>
    <definedName name="solver_val" localSheetId="19" hidden="1">0</definedName>
    <definedName name="solver_val" localSheetId="5" hidden="1">0</definedName>
    <definedName name="solver_val" localSheetId="2" hidden="1">0</definedName>
    <definedName name="solver_val" localSheetId="16" hidden="1">0</definedName>
    <definedName name="solver_val" localSheetId="13" hidden="1">0</definedName>
    <definedName name="solver_val" localSheetId="10" hidden="1">0</definedName>
    <definedName name="solver_val" localSheetId="15" hidden="1">0</definedName>
    <definedName name="solver_val" localSheetId="12" hidden="1">0</definedName>
    <definedName name="solver_val" localSheetId="14" hidden="1">0</definedName>
    <definedName name="solver_val" localSheetId="11" hidden="1">0</definedName>
    <definedName name="solver_val" localSheetId="7" hidden="1">0</definedName>
    <definedName name="solver_ver" localSheetId="19" hidden="1">3</definedName>
    <definedName name="solver_ver" localSheetId="5" hidden="1">3</definedName>
    <definedName name="solver_ver" localSheetId="2" hidden="1">3</definedName>
    <definedName name="solver_ver" localSheetId="16" hidden="1">3</definedName>
    <definedName name="solver_ver" localSheetId="13" hidden="1">3</definedName>
    <definedName name="solver_ver" localSheetId="10" hidden="1">3</definedName>
    <definedName name="solver_ver" localSheetId="15" hidden="1">3</definedName>
    <definedName name="solver_ver" localSheetId="12" hidden="1">3</definedName>
    <definedName name="solver_ver" localSheetId="14" hidden="1">3</definedName>
    <definedName name="solver_ver" localSheetId="11" hidden="1">3</definedName>
    <definedName name="solver_ver" localSheetId="7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30" l="1"/>
  <c r="N8" i="30"/>
  <c r="N7" i="30"/>
  <c r="N6" i="30"/>
  <c r="N5" i="30"/>
  <c r="N4" i="30"/>
  <c r="N3" i="30"/>
  <c r="N2" i="30"/>
  <c r="T21" i="30"/>
  <c r="T20" i="30"/>
  <c r="T19" i="30"/>
  <c r="T18" i="30"/>
  <c r="M7" i="30"/>
  <c r="Z6" i="30"/>
  <c r="P6" i="30"/>
  <c r="P5" i="30"/>
  <c r="P4" i="30"/>
  <c r="H6" i="11"/>
  <c r="B176" i="7" a="1"/>
  <c r="B176" i="7" s="1"/>
  <c r="B175" i="7" a="1"/>
  <c r="B175" i="7" s="1"/>
  <c r="B174" i="7" a="1"/>
  <c r="B174" i="7" s="1"/>
  <c r="B173" i="7" a="1"/>
  <c r="B173" i="7" s="1"/>
  <c r="B172" i="7" a="1"/>
  <c r="B172" i="7" s="1"/>
  <c r="B171" i="7" a="1"/>
  <c r="B171" i="7" s="1"/>
  <c r="K8" i="3" a="1"/>
  <c r="K8" i="3" s="1"/>
  <c r="K2" i="3" a="1"/>
  <c r="K2" i="3" s="1"/>
  <c r="A30" i="30" l="1"/>
  <c r="B30" i="30"/>
  <c r="C30" i="30"/>
  <c r="E30" i="30"/>
  <c r="F30" i="30"/>
  <c r="A2" i="30"/>
  <c r="C2" i="30"/>
  <c r="E2" i="30"/>
  <c r="A3" i="30"/>
  <c r="C3" i="30"/>
  <c r="E3" i="30"/>
  <c r="A4" i="30"/>
  <c r="C4" i="30"/>
  <c r="E4" i="30"/>
  <c r="A5" i="30"/>
  <c r="C5" i="30"/>
  <c r="E5" i="30"/>
  <c r="A6" i="30"/>
  <c r="C6" i="30"/>
  <c r="A7" i="30"/>
  <c r="C7" i="30"/>
  <c r="E7" i="30"/>
  <c r="A8" i="30"/>
  <c r="C8" i="30"/>
  <c r="E8" i="30"/>
  <c r="A9" i="30"/>
  <c r="C9" i="30"/>
  <c r="E9" i="30"/>
  <c r="A10" i="30"/>
  <c r="C10" i="30"/>
  <c r="E10" i="30"/>
  <c r="A11" i="30"/>
  <c r="C11" i="30"/>
  <c r="E11" i="30"/>
  <c r="P3" i="30" s="1"/>
  <c r="A12" i="30"/>
  <c r="C12" i="30"/>
  <c r="E12" i="30"/>
  <c r="A13" i="30"/>
  <c r="C13" i="30"/>
  <c r="E13" i="30"/>
  <c r="A14" i="30"/>
  <c r="C14" i="30"/>
  <c r="E14" i="30"/>
  <c r="A15" i="30"/>
  <c r="C15" i="30"/>
  <c r="E15" i="30"/>
  <c r="A16" i="30"/>
  <c r="C16" i="30"/>
  <c r="E16" i="30"/>
  <c r="A17" i="30"/>
  <c r="C17" i="30"/>
  <c r="E17" i="30"/>
  <c r="A18" i="30"/>
  <c r="C18" i="30"/>
  <c r="E18" i="30"/>
  <c r="A19" i="30"/>
  <c r="C19" i="30"/>
  <c r="E19" i="30"/>
  <c r="A20" i="30"/>
  <c r="C20" i="30"/>
  <c r="E20" i="30"/>
  <c r="A21" i="30"/>
  <c r="C21" i="30"/>
  <c r="E21" i="30"/>
  <c r="A22" i="30"/>
  <c r="C22" i="30"/>
  <c r="E22" i="30"/>
  <c r="A23" i="30"/>
  <c r="C23" i="30"/>
  <c r="E23" i="30"/>
  <c r="A24" i="30"/>
  <c r="C24" i="30"/>
  <c r="E24" i="30"/>
  <c r="A25" i="30"/>
  <c r="C25" i="30"/>
  <c r="E25" i="30"/>
  <c r="A26" i="30"/>
  <c r="C26" i="30"/>
  <c r="E26" i="30"/>
  <c r="A27" i="30"/>
  <c r="C27" i="30"/>
  <c r="E27" i="30"/>
  <c r="A28" i="30"/>
  <c r="C28" i="30"/>
  <c r="E28" i="30"/>
  <c r="A29" i="30"/>
  <c r="C29" i="30"/>
  <c r="E29" i="30"/>
  <c r="B1" i="30"/>
  <c r="C1" i="30"/>
  <c r="D1" i="30"/>
  <c r="E1" i="30"/>
  <c r="F1" i="30"/>
  <c r="G1" i="30"/>
  <c r="H1" i="30"/>
  <c r="I1" i="30"/>
  <c r="A1" i="30"/>
  <c r="B62" i="29" l="1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2" i="29"/>
  <c r="B62" i="27" l="1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2" i="27"/>
  <c r="N19" i="28" l="1"/>
  <c r="L19" i="28"/>
  <c r="N11" i="28"/>
  <c r="L11" i="28"/>
  <c r="M23" i="28" l="1"/>
  <c r="E30" i="26"/>
  <c r="AH29" i="26"/>
  <c r="X29" i="26"/>
  <c r="H29" i="26"/>
  <c r="G29" i="26"/>
  <c r="E29" i="26"/>
  <c r="AH28" i="26"/>
  <c r="X28" i="26"/>
  <c r="H28" i="26"/>
  <c r="E28" i="26"/>
  <c r="AG28" i="26"/>
  <c r="X27" i="26"/>
  <c r="G27" i="26"/>
  <c r="E27" i="26"/>
  <c r="X26" i="26"/>
  <c r="G26" i="26"/>
  <c r="E26" i="26"/>
  <c r="X25" i="26"/>
  <c r="G25" i="26"/>
  <c r="E25" i="26"/>
  <c r="AG23" i="26"/>
  <c r="X24" i="26"/>
  <c r="E24" i="26"/>
  <c r="AH23" i="26"/>
  <c r="E23" i="26"/>
  <c r="E22" i="26"/>
  <c r="E21" i="26"/>
  <c r="E20" i="26"/>
  <c r="E19" i="26"/>
  <c r="X18" i="26"/>
  <c r="E18" i="26"/>
  <c r="AG17" i="26"/>
  <c r="X17" i="26"/>
  <c r="E17" i="26"/>
  <c r="X16" i="26"/>
  <c r="E16" i="26"/>
  <c r="X15" i="26"/>
  <c r="G15" i="26"/>
  <c r="E15" i="26"/>
  <c r="X14" i="26"/>
  <c r="G14" i="26"/>
  <c r="E14" i="26"/>
  <c r="AG13" i="26"/>
  <c r="X13" i="26"/>
  <c r="G13" i="26"/>
  <c r="E13" i="26"/>
  <c r="AG12" i="26"/>
  <c r="X12" i="26"/>
  <c r="H12" i="26"/>
  <c r="E12" i="26"/>
  <c r="AG11" i="26"/>
  <c r="X11" i="26"/>
  <c r="H11" i="26"/>
  <c r="G11" i="26"/>
  <c r="E11" i="26"/>
  <c r="E10" i="26"/>
  <c r="E3" i="26"/>
  <c r="AH14" i="26" s="1"/>
  <c r="B3" i="26"/>
  <c r="F26" i="26" s="1"/>
  <c r="V2" i="26"/>
  <c r="E2" i="26"/>
  <c r="Z32" i="22"/>
  <c r="Z31" i="22"/>
  <c r="D31" i="22"/>
  <c r="C31" i="22"/>
  <c r="Z30" i="22"/>
  <c r="D30" i="22"/>
  <c r="C30" i="22"/>
  <c r="Z29" i="22"/>
  <c r="D29" i="22"/>
  <c r="C29" i="22"/>
  <c r="Z28" i="22"/>
  <c r="D28" i="22"/>
  <c r="C28" i="22"/>
  <c r="Z27" i="22"/>
  <c r="D27" i="22"/>
  <c r="C27" i="22"/>
  <c r="Z26" i="22"/>
  <c r="D26" i="22"/>
  <c r="C26" i="22"/>
  <c r="Z25" i="22"/>
  <c r="D25" i="22"/>
  <c r="C25" i="22"/>
  <c r="Z24" i="22"/>
  <c r="D24" i="22"/>
  <c r="C24" i="22"/>
  <c r="Z23" i="22"/>
  <c r="D23" i="22"/>
  <c r="C23" i="22"/>
  <c r="Z22" i="22"/>
  <c r="D22" i="22"/>
  <c r="C22" i="22"/>
  <c r="Z21" i="22"/>
  <c r="D21" i="22"/>
  <c r="C21" i="22"/>
  <c r="Z20" i="22"/>
  <c r="D20" i="22"/>
  <c r="C20" i="22"/>
  <c r="Z19" i="22"/>
  <c r="D19" i="22"/>
  <c r="C19" i="22"/>
  <c r="Z18" i="22"/>
  <c r="D18" i="22"/>
  <c r="C18" i="22"/>
  <c r="Z17" i="22"/>
  <c r="D17" i="22"/>
  <c r="C17" i="22"/>
  <c r="Z16" i="22"/>
  <c r="D16" i="22"/>
  <c r="C16" i="22"/>
  <c r="Z15" i="22"/>
  <c r="D15" i="22"/>
  <c r="C15" i="22"/>
  <c r="Z14" i="22"/>
  <c r="D14" i="22"/>
  <c r="C14" i="22"/>
  <c r="Z13" i="22"/>
  <c r="D13" i="22"/>
  <c r="C13" i="22"/>
  <c r="Z12" i="22"/>
  <c r="D12" i="22"/>
  <c r="C12" i="22"/>
  <c r="D11" i="22"/>
  <c r="C11" i="22"/>
  <c r="B6" i="22"/>
  <c r="E6" i="22" s="1"/>
  <c r="E5" i="22"/>
  <c r="F18" i="22" s="1"/>
  <c r="B5" i="22"/>
  <c r="B4" i="22"/>
  <c r="Z32" i="20"/>
  <c r="Z31" i="20"/>
  <c r="D31" i="20"/>
  <c r="C31" i="20"/>
  <c r="Z30" i="20"/>
  <c r="D30" i="20"/>
  <c r="C30" i="20"/>
  <c r="Z29" i="20"/>
  <c r="D29" i="20"/>
  <c r="C29" i="20"/>
  <c r="Z28" i="20"/>
  <c r="D28" i="20"/>
  <c r="C28" i="20"/>
  <c r="Z27" i="20"/>
  <c r="D27" i="20"/>
  <c r="C27" i="20"/>
  <c r="Z26" i="20"/>
  <c r="D26" i="20"/>
  <c r="C26" i="20"/>
  <c r="Z25" i="20"/>
  <c r="D25" i="20"/>
  <c r="C25" i="20"/>
  <c r="Z24" i="20"/>
  <c r="D24" i="20"/>
  <c r="C24" i="20"/>
  <c r="Z23" i="20"/>
  <c r="D23" i="20"/>
  <c r="C23" i="20"/>
  <c r="Z22" i="20"/>
  <c r="D22" i="20"/>
  <c r="C22" i="20"/>
  <c r="Z21" i="20"/>
  <c r="D21" i="20"/>
  <c r="C21" i="20"/>
  <c r="Z20" i="20"/>
  <c r="D20" i="20"/>
  <c r="C20" i="20"/>
  <c r="Z19" i="20"/>
  <c r="D19" i="20"/>
  <c r="C19" i="20"/>
  <c r="Z18" i="20"/>
  <c r="D18" i="20"/>
  <c r="C18" i="20"/>
  <c r="Z17" i="20"/>
  <c r="D17" i="20"/>
  <c r="C17" i="20"/>
  <c r="Z16" i="20"/>
  <c r="D16" i="20"/>
  <c r="C16" i="20"/>
  <c r="Z15" i="20"/>
  <c r="D15" i="20"/>
  <c r="C15" i="20"/>
  <c r="Z14" i="20"/>
  <c r="D14" i="20"/>
  <c r="C14" i="20"/>
  <c r="Z13" i="20"/>
  <c r="D13" i="20"/>
  <c r="C13" i="20"/>
  <c r="Z12" i="20"/>
  <c r="D12" i="20"/>
  <c r="C12" i="20"/>
  <c r="D11" i="20"/>
  <c r="C11" i="20"/>
  <c r="E6" i="20"/>
  <c r="B6" i="20"/>
  <c r="E5" i="20"/>
  <c r="F17" i="20" s="1"/>
  <c r="B5" i="20"/>
  <c r="B4" i="20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6" i="14"/>
  <c r="E6" i="14" s="1"/>
  <c r="B5" i="14"/>
  <c r="H6" i="14" s="1"/>
  <c r="E5" i="14" s="1"/>
  <c r="D18" i="14" s="1"/>
  <c r="B4" i="14"/>
  <c r="Z32" i="19"/>
  <c r="Z31" i="19"/>
  <c r="D31" i="19"/>
  <c r="C31" i="19"/>
  <c r="Z30" i="19"/>
  <c r="D30" i="19"/>
  <c r="C30" i="19"/>
  <c r="Z29" i="19"/>
  <c r="D29" i="19"/>
  <c r="C29" i="19"/>
  <c r="Z28" i="19"/>
  <c r="D28" i="19"/>
  <c r="C28" i="19"/>
  <c r="Z27" i="19"/>
  <c r="D27" i="19"/>
  <c r="C27" i="19"/>
  <c r="Z26" i="19"/>
  <c r="D26" i="19"/>
  <c r="C26" i="19"/>
  <c r="Z25" i="19"/>
  <c r="D25" i="19"/>
  <c r="C25" i="19"/>
  <c r="Z24" i="19"/>
  <c r="D24" i="19"/>
  <c r="C24" i="19"/>
  <c r="Z23" i="19"/>
  <c r="D23" i="19"/>
  <c r="C23" i="19"/>
  <c r="Z22" i="19"/>
  <c r="D22" i="19"/>
  <c r="C22" i="19"/>
  <c r="Z21" i="19"/>
  <c r="D21" i="19"/>
  <c r="C21" i="19"/>
  <c r="Z20" i="19"/>
  <c r="D20" i="19"/>
  <c r="C20" i="19"/>
  <c r="Z19" i="19"/>
  <c r="D19" i="19"/>
  <c r="C19" i="19"/>
  <c r="Z18" i="19"/>
  <c r="D18" i="19"/>
  <c r="C18" i="19"/>
  <c r="Z17" i="19"/>
  <c r="D17" i="19"/>
  <c r="C17" i="19"/>
  <c r="Z16" i="19"/>
  <c r="D16" i="19"/>
  <c r="C16" i="19"/>
  <c r="Z15" i="19"/>
  <c r="D15" i="19"/>
  <c r="C15" i="19"/>
  <c r="Z14" i="19"/>
  <c r="D14" i="19"/>
  <c r="C14" i="19"/>
  <c r="Z13" i="19"/>
  <c r="D13" i="19"/>
  <c r="C13" i="19"/>
  <c r="Z12" i="19"/>
  <c r="D12" i="19"/>
  <c r="C12" i="19"/>
  <c r="D11" i="19"/>
  <c r="C11" i="19"/>
  <c r="B6" i="19"/>
  <c r="E6" i="19" s="1"/>
  <c r="E12" i="19" s="1"/>
  <c r="E5" i="19"/>
  <c r="F30" i="19" s="1"/>
  <c r="B5" i="19"/>
  <c r="B4" i="19"/>
  <c r="Z32" i="15"/>
  <c r="Z31" i="15"/>
  <c r="F31" i="15"/>
  <c r="D31" i="15"/>
  <c r="C31" i="15"/>
  <c r="Z30" i="15"/>
  <c r="F30" i="15"/>
  <c r="D30" i="15"/>
  <c r="C30" i="15"/>
  <c r="Z29" i="15"/>
  <c r="F29" i="15"/>
  <c r="D29" i="15"/>
  <c r="C29" i="15"/>
  <c r="Z28" i="15"/>
  <c r="F28" i="15"/>
  <c r="D28" i="15"/>
  <c r="C28" i="15"/>
  <c r="Z27" i="15"/>
  <c r="F27" i="15"/>
  <c r="D27" i="15"/>
  <c r="C27" i="15"/>
  <c r="Z26" i="15"/>
  <c r="F26" i="15"/>
  <c r="D26" i="15"/>
  <c r="C26" i="15"/>
  <c r="Z25" i="15"/>
  <c r="F25" i="15"/>
  <c r="D25" i="15"/>
  <c r="C25" i="15"/>
  <c r="Z24" i="15"/>
  <c r="F24" i="15"/>
  <c r="D24" i="15"/>
  <c r="C24" i="15"/>
  <c r="Z23" i="15"/>
  <c r="F23" i="15"/>
  <c r="D23" i="15"/>
  <c r="C23" i="15"/>
  <c r="Z22" i="15"/>
  <c r="F22" i="15"/>
  <c r="D22" i="15"/>
  <c r="C22" i="15"/>
  <c r="Z21" i="15"/>
  <c r="F21" i="15"/>
  <c r="D21" i="15"/>
  <c r="C21" i="15"/>
  <c r="Z20" i="15"/>
  <c r="F20" i="15"/>
  <c r="D20" i="15"/>
  <c r="C20" i="15"/>
  <c r="Z19" i="15"/>
  <c r="F19" i="15"/>
  <c r="D19" i="15"/>
  <c r="C19" i="15"/>
  <c r="Z18" i="15"/>
  <c r="F18" i="15"/>
  <c r="D18" i="15"/>
  <c r="C18" i="15"/>
  <c r="Z17" i="15"/>
  <c r="F17" i="15"/>
  <c r="D17" i="15"/>
  <c r="C17" i="15"/>
  <c r="Z16" i="15"/>
  <c r="F16" i="15"/>
  <c r="D16" i="15"/>
  <c r="C16" i="15"/>
  <c r="Z15" i="15"/>
  <c r="F15" i="15"/>
  <c r="D15" i="15"/>
  <c r="C15" i="15"/>
  <c r="Z14" i="15"/>
  <c r="F14" i="15"/>
  <c r="D14" i="15"/>
  <c r="C14" i="15"/>
  <c r="Z13" i="15"/>
  <c r="F13" i="15"/>
  <c r="D13" i="15"/>
  <c r="C13" i="15"/>
  <c r="Z12" i="15"/>
  <c r="F12" i="15"/>
  <c r="D12" i="15"/>
  <c r="C12" i="15"/>
  <c r="F11" i="15"/>
  <c r="D11" i="15"/>
  <c r="C11" i="15"/>
  <c r="E6" i="15"/>
  <c r="E28" i="15" s="1"/>
  <c r="B6" i="15"/>
  <c r="E5" i="15"/>
  <c r="B5" i="15"/>
  <c r="B4" i="15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6" i="11"/>
  <c r="E6" i="11" s="1"/>
  <c r="B5" i="11"/>
  <c r="B4" i="11"/>
  <c r="I51" i="10"/>
  <c r="N134" i="9" s="1"/>
  <c r="O134" i="9" s="1"/>
  <c r="H51" i="10"/>
  <c r="N133" i="9" s="1"/>
  <c r="O133" i="9" s="1"/>
  <c r="G51" i="10"/>
  <c r="I50" i="10"/>
  <c r="H50" i="10"/>
  <c r="G50" i="10"/>
  <c r="AB50" i="10" s="1"/>
  <c r="U44" i="10"/>
  <c r="M53" i="9" s="1"/>
  <c r="N53" i="9" s="1"/>
  <c r="T44" i="10"/>
  <c r="M52" i="9" s="1"/>
  <c r="N52" i="9" s="1"/>
  <c r="S44" i="10"/>
  <c r="M51" i="9" s="1"/>
  <c r="N51" i="9" s="1"/>
  <c r="R44" i="10"/>
  <c r="M50" i="9" s="1"/>
  <c r="N50" i="9" s="1"/>
  <c r="Q44" i="10"/>
  <c r="M75" i="9" s="1"/>
  <c r="N75" i="9" s="1"/>
  <c r="P44" i="10"/>
  <c r="O44" i="10"/>
  <c r="M73" i="9" s="1"/>
  <c r="N73" i="9" s="1"/>
  <c r="N44" i="10"/>
  <c r="M72" i="9" s="1"/>
  <c r="N72" i="9" s="1"/>
  <c r="M44" i="10"/>
  <c r="M71" i="9" s="1"/>
  <c r="N71" i="9" s="1"/>
  <c r="L44" i="10"/>
  <c r="M70" i="9" s="1"/>
  <c r="N70" i="9" s="1"/>
  <c r="K44" i="10"/>
  <c r="M69" i="9" s="1"/>
  <c r="N69" i="9" s="1"/>
  <c r="J44" i="10"/>
  <c r="I44" i="10"/>
  <c r="H44" i="10"/>
  <c r="G44" i="10"/>
  <c r="I36" i="10"/>
  <c r="H36" i="10"/>
  <c r="G36" i="10"/>
  <c r="I35" i="10"/>
  <c r="H35" i="10"/>
  <c r="G35" i="10"/>
  <c r="E28" i="8"/>
  <c r="D28" i="8"/>
  <c r="C28" i="8"/>
  <c r="B28" i="8"/>
  <c r="E27" i="8"/>
  <c r="D27" i="8"/>
  <c r="C27" i="8"/>
  <c r="B27" i="8"/>
  <c r="E26" i="8"/>
  <c r="D26" i="8"/>
  <c r="C26" i="8"/>
  <c r="B26" i="8"/>
  <c r="E25" i="8"/>
  <c r="D25" i="8"/>
  <c r="C25" i="8"/>
  <c r="B25" i="8"/>
  <c r="E24" i="8"/>
  <c r="D24" i="8"/>
  <c r="C24" i="8"/>
  <c r="B24" i="8"/>
  <c r="E23" i="8"/>
  <c r="D23" i="8"/>
  <c r="C23" i="8"/>
  <c r="B23" i="8"/>
  <c r="E22" i="8"/>
  <c r="D22" i="8"/>
  <c r="C22" i="8"/>
  <c r="B22" i="8"/>
  <c r="V21" i="8"/>
  <c r="E21" i="8"/>
  <c r="D21" i="8"/>
  <c r="C21" i="8"/>
  <c r="B21" i="8"/>
  <c r="V20" i="8"/>
  <c r="E20" i="8"/>
  <c r="D20" i="8"/>
  <c r="C20" i="8"/>
  <c r="B20" i="8"/>
  <c r="B18" i="8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D5" i="8"/>
  <c r="C5" i="8"/>
  <c r="B5" i="8"/>
  <c r="D4" i="8"/>
  <c r="C4" i="8"/>
  <c r="B4" i="8"/>
  <c r="C164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X136" i="7"/>
  <c r="W136" i="7"/>
  <c r="Y135" i="7"/>
  <c r="X135" i="7"/>
  <c r="W135" i="7"/>
  <c r="W134" i="7"/>
  <c r="W133" i="7"/>
  <c r="W132" i="7"/>
  <c r="W131" i="7"/>
  <c r="W130" i="7"/>
  <c r="W129" i="7"/>
  <c r="W128" i="7"/>
  <c r="W127" i="7"/>
  <c r="W126" i="7"/>
  <c r="W125" i="7"/>
  <c r="W124" i="7"/>
  <c r="W123" i="7"/>
  <c r="W122" i="7"/>
  <c r="Y121" i="7"/>
  <c r="W121" i="7"/>
  <c r="Y120" i="7"/>
  <c r="W120" i="7"/>
  <c r="Y119" i="7"/>
  <c r="W119" i="7"/>
  <c r="Y118" i="7"/>
  <c r="W118" i="7"/>
  <c r="Y117" i="7"/>
  <c r="X117" i="7"/>
  <c r="C59" i="7"/>
  <c r="T57" i="7"/>
  <c r="C22" i="7"/>
  <c r="C14" i="7"/>
  <c r="C7" i="7"/>
  <c r="C85" i="7" s="1"/>
  <c r="N147" i="9"/>
  <c r="O147" i="9" s="1"/>
  <c r="B147" i="9"/>
  <c r="C147" i="9" s="1"/>
  <c r="N146" i="9"/>
  <c r="O146" i="9" s="1"/>
  <c r="N145" i="9"/>
  <c r="O145" i="9" s="1"/>
  <c r="N144" i="9"/>
  <c r="O144" i="9" s="1"/>
  <c r="N143" i="9"/>
  <c r="O143" i="9" s="1"/>
  <c r="N142" i="9"/>
  <c r="O142" i="9" s="1"/>
  <c r="N141" i="9"/>
  <c r="O141" i="9" s="1"/>
  <c r="N140" i="9"/>
  <c r="O140" i="9" s="1"/>
  <c r="N139" i="9"/>
  <c r="O139" i="9" s="1"/>
  <c r="N138" i="9"/>
  <c r="O138" i="9" s="1"/>
  <c r="N137" i="9"/>
  <c r="O137" i="9" s="1"/>
  <c r="N136" i="9"/>
  <c r="O136" i="9" s="1"/>
  <c r="N135" i="9"/>
  <c r="O135" i="9" s="1"/>
  <c r="N132" i="9"/>
  <c r="O132" i="9" s="1"/>
  <c r="N131" i="9"/>
  <c r="O131" i="9" s="1"/>
  <c r="B131" i="9"/>
  <c r="C131" i="9" s="1"/>
  <c r="N130" i="9"/>
  <c r="O130" i="9" s="1"/>
  <c r="B130" i="9"/>
  <c r="C130" i="9" s="1"/>
  <c r="N129" i="9"/>
  <c r="O129" i="9" s="1"/>
  <c r="B129" i="9"/>
  <c r="C129" i="9" s="1"/>
  <c r="N128" i="9"/>
  <c r="O128" i="9" s="1"/>
  <c r="B128" i="9"/>
  <c r="C128" i="9" s="1"/>
  <c r="B111" i="9"/>
  <c r="C111" i="9" s="1"/>
  <c r="B110" i="9"/>
  <c r="C110" i="9" s="1"/>
  <c r="B109" i="9"/>
  <c r="C109" i="9" s="1"/>
  <c r="B102" i="9"/>
  <c r="C102" i="9" s="1"/>
  <c r="N101" i="9"/>
  <c r="O101" i="9" s="1"/>
  <c r="B100" i="9"/>
  <c r="C100" i="9" s="1"/>
  <c r="N98" i="9"/>
  <c r="O98" i="9" s="1"/>
  <c r="B98" i="9"/>
  <c r="C98" i="9" s="1"/>
  <c r="N97" i="9"/>
  <c r="O97" i="9" s="1"/>
  <c r="B97" i="9"/>
  <c r="C97" i="9" s="1"/>
  <c r="N96" i="9"/>
  <c r="O96" i="9" s="1"/>
  <c r="B96" i="9"/>
  <c r="C96" i="9" s="1"/>
  <c r="N95" i="9"/>
  <c r="O95" i="9" s="1"/>
  <c r="B95" i="9"/>
  <c r="C95" i="9" s="1"/>
  <c r="R94" i="9"/>
  <c r="M80" i="9"/>
  <c r="N80" i="9" s="1"/>
  <c r="M79" i="9"/>
  <c r="N79" i="9" s="1"/>
  <c r="M78" i="9"/>
  <c r="N78" i="9" s="1"/>
  <c r="M77" i="9"/>
  <c r="N77" i="9" s="1"/>
  <c r="M76" i="9"/>
  <c r="N76" i="9" s="1"/>
  <c r="M64" i="9"/>
  <c r="N64" i="9" s="1"/>
  <c r="M63" i="9"/>
  <c r="N63" i="9" s="1"/>
  <c r="M62" i="9"/>
  <c r="N62" i="9" s="1"/>
  <c r="M61" i="9"/>
  <c r="N61" i="9" s="1"/>
  <c r="M54" i="9"/>
  <c r="N54" i="9" s="1"/>
  <c r="M44" i="9"/>
  <c r="N44" i="9" s="1"/>
  <c r="M42" i="9"/>
  <c r="N42" i="9" s="1"/>
  <c r="M38" i="9"/>
  <c r="N38" i="9" s="1"/>
  <c r="M37" i="9"/>
  <c r="N37" i="9" s="1"/>
  <c r="M36" i="9"/>
  <c r="N36" i="9" s="1"/>
  <c r="M35" i="9"/>
  <c r="N35" i="9" s="1"/>
  <c r="E3" i="9"/>
  <c r="B8" i="9" s="1"/>
  <c r="H2" i="9"/>
  <c r="B62" i="9" s="1"/>
  <c r="B61" i="9" s="1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A1" i="4" a="1"/>
  <c r="B6" i="4" s="1"/>
  <c r="B39" i="3"/>
  <c r="C39" i="3" s="1"/>
  <c r="B38" i="3"/>
  <c r="C38" i="3" s="1"/>
  <c r="B37" i="3"/>
  <c r="C37" i="3" s="1"/>
  <c r="F14" i="3"/>
  <c r="H5" i="3"/>
  <c r="H6" i="3" s="1"/>
  <c r="G3" i="3"/>
  <c r="F3" i="3"/>
  <c r="C6" i="3" s="1"/>
  <c r="E3" i="3"/>
  <c r="A3" i="3"/>
  <c r="B3" i="3" s="1"/>
  <c r="C3" i="3" s="1"/>
  <c r="D9" i="3" s="1"/>
  <c r="X32" i="1"/>
  <c r="M10" i="1"/>
  <c r="M9" i="1"/>
  <c r="M8" i="1"/>
  <c r="N8" i="1" s="1"/>
  <c r="M7" i="1"/>
  <c r="N7" i="1" s="1"/>
  <c r="M5" i="1"/>
  <c r="M6" i="1" s="1"/>
  <c r="M4" i="1"/>
  <c r="T5" i="1" s="1"/>
  <c r="T32" i="1" s="1"/>
  <c r="C4" i="1"/>
  <c r="J8" i="2"/>
  <c r="G10" i="2"/>
  <c r="D8" i="2"/>
  <c r="G9" i="2"/>
  <c r="G8" i="2"/>
  <c r="B8" i="2"/>
  <c r="J7" i="2"/>
  <c r="D7" i="2"/>
  <c r="B7" i="2"/>
  <c r="J6" i="2"/>
  <c r="E4" i="1" s="1"/>
  <c r="D6" i="2"/>
  <c r="B6" i="2"/>
  <c r="C35" i="8" l="1"/>
  <c r="B39" i="8"/>
  <c r="B18" i="30"/>
  <c r="E38" i="3"/>
  <c r="G38" i="3"/>
  <c r="F18" i="30" s="1"/>
  <c r="B17" i="30"/>
  <c r="E37" i="3"/>
  <c r="G37" i="3"/>
  <c r="F17" i="30" s="1"/>
  <c r="B19" i="30"/>
  <c r="E39" i="3"/>
  <c r="G39" i="3"/>
  <c r="F19" i="30" s="1"/>
  <c r="D38" i="8"/>
  <c r="E10" i="10" s="1"/>
  <c r="E21" i="10" s="1"/>
  <c r="D36" i="8"/>
  <c r="E8" i="10" s="1"/>
  <c r="E23" i="10" s="1"/>
  <c r="D39" i="8"/>
  <c r="E11" i="10" s="1"/>
  <c r="E20" i="10" s="1"/>
  <c r="D41" i="8"/>
  <c r="E13" i="10" s="1"/>
  <c r="E18" i="10" s="1"/>
  <c r="D40" i="8"/>
  <c r="E12" i="10" s="1"/>
  <c r="E19" i="10" s="1"/>
  <c r="B35" i="8"/>
  <c r="C7" i="10" s="1"/>
  <c r="C24" i="10" s="1"/>
  <c r="Y6" i="26"/>
  <c r="E27" i="19"/>
  <c r="B36" i="8"/>
  <c r="E24" i="19"/>
  <c r="F16" i="26"/>
  <c r="D34" i="8"/>
  <c r="E16" i="10" s="1"/>
  <c r="W22" i="1"/>
  <c r="S18" i="1"/>
  <c r="V16" i="1"/>
  <c r="T11" i="1"/>
  <c r="Y9" i="1"/>
  <c r="T8" i="1"/>
  <c r="W25" i="1"/>
  <c r="W53" i="1" s="1"/>
  <c r="S20" i="1"/>
  <c r="Y23" i="1"/>
  <c r="Q22" i="1"/>
  <c r="I113" i="7"/>
  <c r="B37" i="8"/>
  <c r="C9" i="10" s="1"/>
  <c r="C22" i="10" s="1"/>
  <c r="C41" i="8"/>
  <c r="D13" i="10" s="1"/>
  <c r="D18" i="10" s="1"/>
  <c r="B2" i="26"/>
  <c r="B34" i="8"/>
  <c r="B49" i="8" s="1"/>
  <c r="U5" i="1"/>
  <c r="U32" i="1" s="1"/>
  <c r="C45" i="7"/>
  <c r="C47" i="7"/>
  <c r="B2" i="9"/>
  <c r="C52" i="7"/>
  <c r="C38" i="8"/>
  <c r="D10" i="10" s="1"/>
  <c r="D21" i="10" s="1"/>
  <c r="C42" i="8"/>
  <c r="D14" i="10" s="1"/>
  <c r="D17" i="10" s="1"/>
  <c r="E28" i="19"/>
  <c r="F13" i="26"/>
  <c r="F24" i="26"/>
  <c r="D42" i="8"/>
  <c r="E14" i="10" s="1"/>
  <c r="E17" i="10" s="1"/>
  <c r="B8" i="26"/>
  <c r="B14" i="26" s="1"/>
  <c r="C86" i="7"/>
  <c r="E14" i="19"/>
  <c r="F10" i="26"/>
  <c r="H7" i="3"/>
  <c r="F26" i="3" s="1"/>
  <c r="E6" i="30" s="1"/>
  <c r="C88" i="7"/>
  <c r="D35" i="8"/>
  <c r="E7" i="10" s="1"/>
  <c r="E24" i="10" s="1"/>
  <c r="C39" i="8"/>
  <c r="D11" i="10" s="1"/>
  <c r="D20" i="10" s="1"/>
  <c r="E12" i="15"/>
  <c r="F25" i="26"/>
  <c r="C37" i="8"/>
  <c r="D9" i="10" s="1"/>
  <c r="D22" i="10" s="1"/>
  <c r="F11" i="26"/>
  <c r="F14" i="26"/>
  <c r="B6" i="3"/>
  <c r="D6" i="3" s="1"/>
  <c r="B8" i="3"/>
  <c r="C40" i="8"/>
  <c r="D12" i="10" s="1"/>
  <c r="D19" i="10" s="1"/>
  <c r="E13" i="15"/>
  <c r="E21" i="19"/>
  <c r="E26" i="19"/>
  <c r="F15" i="26"/>
  <c r="F21" i="26"/>
  <c r="G10" i="7"/>
  <c r="G11" i="7" s="1"/>
  <c r="F12" i="26"/>
  <c r="O8" i="1"/>
  <c r="O7" i="1"/>
  <c r="O11" i="1"/>
  <c r="O14" i="1"/>
  <c r="O9" i="1"/>
  <c r="O12" i="1"/>
  <c r="O13" i="1"/>
  <c r="O15" i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10" i="1"/>
  <c r="V5" i="1"/>
  <c r="V32" i="1" s="1"/>
  <c r="U8" i="1"/>
  <c r="E29" i="5"/>
  <c r="C8" i="7"/>
  <c r="U11" i="1"/>
  <c r="Q13" i="1"/>
  <c r="Y14" i="1"/>
  <c r="W16" i="1"/>
  <c r="V18" i="1"/>
  <c r="T20" i="1"/>
  <c r="R22" i="1"/>
  <c r="W5" i="1"/>
  <c r="W32" i="1" s="1"/>
  <c r="R7" i="1"/>
  <c r="V8" i="1"/>
  <c r="V11" i="1"/>
  <c r="R13" i="1"/>
  <c r="W18" i="1"/>
  <c r="U20" i="1"/>
  <c r="S22" i="1"/>
  <c r="Q24" i="1"/>
  <c r="Y25" i="1"/>
  <c r="Q7" i="1"/>
  <c r="Y5" i="1"/>
  <c r="S7" i="1"/>
  <c r="W8" i="1"/>
  <c r="Q10" i="1"/>
  <c r="W11" i="1"/>
  <c r="S13" i="1"/>
  <c r="Q15" i="1"/>
  <c r="Q17" i="1"/>
  <c r="V20" i="1"/>
  <c r="T22" i="1"/>
  <c r="R24" i="1"/>
  <c r="P34" i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T13" i="1"/>
  <c r="U13" i="1"/>
  <c r="U15" i="1"/>
  <c r="S17" i="1"/>
  <c r="S47" i="1" s="1"/>
  <c r="V22" i="1"/>
  <c r="T24" i="1"/>
  <c r="R15" i="1"/>
  <c r="V7" i="1"/>
  <c r="T17" i="1"/>
  <c r="U24" i="1"/>
  <c r="R10" i="1"/>
  <c r="Q6" i="1"/>
  <c r="Q33" i="1" s="1"/>
  <c r="R6" i="1"/>
  <c r="R33" i="1" s="1"/>
  <c r="T10" i="1"/>
  <c r="V13" i="1"/>
  <c r="Q19" i="1"/>
  <c r="Y24" i="1"/>
  <c r="S23" i="1"/>
  <c r="W21" i="1"/>
  <c r="Q20" i="1"/>
  <c r="U18" i="1"/>
  <c r="T15" i="1"/>
  <c r="R23" i="1"/>
  <c r="V21" i="1"/>
  <c r="T18" i="1"/>
  <c r="Y16" i="1"/>
  <c r="S15" i="1"/>
  <c r="W13" i="1"/>
  <c r="V15" i="1"/>
  <c r="Y20" i="1"/>
  <c r="S6" i="1"/>
  <c r="S33" i="1" s="1"/>
  <c r="W7" i="1"/>
  <c r="U10" i="1"/>
  <c r="Q12" i="1"/>
  <c r="Y13" i="1"/>
  <c r="W15" i="1"/>
  <c r="U17" i="1"/>
  <c r="R19" i="1"/>
  <c r="V24" i="1"/>
  <c r="T6" i="1"/>
  <c r="T33" i="1" s="1"/>
  <c r="Q9" i="1"/>
  <c r="V10" i="1"/>
  <c r="R12" i="1"/>
  <c r="V17" i="1"/>
  <c r="S19" i="1"/>
  <c r="Q21" i="1"/>
  <c r="Y22" i="1"/>
  <c r="W24" i="1"/>
  <c r="U7" i="1"/>
  <c r="S12" i="1"/>
  <c r="T19" i="1"/>
  <c r="U22" i="1"/>
  <c r="Y15" i="1"/>
  <c r="U19" i="1"/>
  <c r="W10" i="1"/>
  <c r="S9" i="1"/>
  <c r="U12" i="1"/>
  <c r="T23" i="1"/>
  <c r="C8" i="10"/>
  <c r="C23" i="10" s="1"/>
  <c r="B51" i="8"/>
  <c r="T7" i="1"/>
  <c r="Y8" i="1"/>
  <c r="U6" i="1"/>
  <c r="U33" i="1" s="1"/>
  <c r="R21" i="1"/>
  <c r="V6" i="1"/>
  <c r="V33" i="1" s="1"/>
  <c r="Q25" i="1"/>
  <c r="Q53" i="1" s="1"/>
  <c r="W6" i="1"/>
  <c r="Y10" i="1"/>
  <c r="Q16" i="1"/>
  <c r="T21" i="1"/>
  <c r="Q5" i="1"/>
  <c r="Q32" i="1" s="1"/>
  <c r="Y18" i="1"/>
  <c r="S24" i="1"/>
  <c r="S10" i="1"/>
  <c r="Y7" i="1"/>
  <c r="W17" i="1"/>
  <c r="R14" i="1"/>
  <c r="S21" i="1"/>
  <c r="U9" i="1"/>
  <c r="V12" i="1"/>
  <c r="T14" i="1"/>
  <c r="R16" i="1"/>
  <c r="W19" i="1"/>
  <c r="U23" i="1"/>
  <c r="Y6" i="1"/>
  <c r="V9" i="1"/>
  <c r="V36" i="1" s="1"/>
  <c r="W12" i="1"/>
  <c r="U14" i="1"/>
  <c r="T25" i="1"/>
  <c r="T53" i="1" s="1"/>
  <c r="W20" i="1"/>
  <c r="Y11" i="1"/>
  <c r="Q14" i="1"/>
  <c r="Q23" i="1"/>
  <c r="T9" i="1"/>
  <c r="S14" i="1"/>
  <c r="V19" i="1"/>
  <c r="R25" i="1"/>
  <c r="R53" i="1" s="1"/>
  <c r="U21" i="1"/>
  <c r="S25" i="1"/>
  <c r="S53" i="1" s="1"/>
  <c r="R5" i="1"/>
  <c r="R32" i="1" s="1"/>
  <c r="Q8" i="1"/>
  <c r="Q11" i="1"/>
  <c r="S16" i="1"/>
  <c r="V23" i="1"/>
  <c r="S5" i="1"/>
  <c r="S32" i="1" s="1"/>
  <c r="R8" i="1"/>
  <c r="W9" i="1"/>
  <c r="R11" i="1"/>
  <c r="V14" i="1"/>
  <c r="T16" i="1"/>
  <c r="Q18" i="1"/>
  <c r="Y19" i="1"/>
  <c r="Y21" i="1"/>
  <c r="W23" i="1"/>
  <c r="U25" i="1"/>
  <c r="U53" i="1" s="1"/>
  <c r="C87" i="7"/>
  <c r="C108" i="7" s="1"/>
  <c r="E2" i="9"/>
  <c r="R17" i="1"/>
  <c r="R9" i="1"/>
  <c r="T12" i="1"/>
  <c r="Y17" i="1"/>
  <c r="S8" i="1"/>
  <c r="S11" i="1"/>
  <c r="Y12" i="1"/>
  <c r="W14" i="1"/>
  <c r="U16" i="1"/>
  <c r="R18" i="1"/>
  <c r="R20" i="1"/>
  <c r="V25" i="1"/>
  <c r="V53" i="1" s="1"/>
  <c r="A6" i="3"/>
  <c r="B38" i="8"/>
  <c r="B40" i="8"/>
  <c r="C12" i="10" s="1"/>
  <c r="C19" i="10" s="1"/>
  <c r="C50" i="8"/>
  <c r="D7" i="10"/>
  <c r="D24" i="10" s="1"/>
  <c r="Z24" i="26"/>
  <c r="Z20" i="26"/>
  <c r="AJ15" i="26"/>
  <c r="AJ12" i="26"/>
  <c r="AJ11" i="26"/>
  <c r="AJ30" i="26"/>
  <c r="AJ25" i="26"/>
  <c r="AJ21" i="26"/>
  <c r="AJ16" i="26"/>
  <c r="Z14" i="26"/>
  <c r="AJ10" i="26"/>
  <c r="Z30" i="26"/>
  <c r="Z25" i="26"/>
  <c r="AJ17" i="26"/>
  <c r="Z15" i="26"/>
  <c r="Z13" i="26"/>
  <c r="Z21" i="26"/>
  <c r="Z12" i="26"/>
  <c r="Z11" i="26"/>
  <c r="Z10" i="26"/>
  <c r="AJ26" i="26"/>
  <c r="Z16" i="26"/>
  <c r="Z26" i="26"/>
  <c r="AJ22" i="26"/>
  <c r="AJ18" i="26"/>
  <c r="Z17" i="26"/>
  <c r="Z22" i="26"/>
  <c r="Z18" i="26"/>
  <c r="Z27" i="26"/>
  <c r="AJ19" i="26"/>
  <c r="Z28" i="26"/>
  <c r="Z23" i="26"/>
  <c r="Z19" i="26"/>
  <c r="Z29" i="26"/>
  <c r="AJ20" i="26"/>
  <c r="AJ14" i="26"/>
  <c r="AJ13" i="26"/>
  <c r="AH13" i="26"/>
  <c r="AH12" i="26"/>
  <c r="AH11" i="26"/>
  <c r="J27" i="26"/>
  <c r="B22" i="28" s="1"/>
  <c r="B11" i="26"/>
  <c r="J23" i="26"/>
  <c r="B18" i="28" s="1"/>
  <c r="J19" i="26"/>
  <c r="B14" i="28" s="1"/>
  <c r="J28" i="26"/>
  <c r="B23" i="28" s="1"/>
  <c r="J29" i="26"/>
  <c r="B24" i="28" s="1"/>
  <c r="J20" i="26"/>
  <c r="B15" i="28" s="1"/>
  <c r="J24" i="26"/>
  <c r="B19" i="28" s="1"/>
  <c r="J30" i="26"/>
  <c r="B25" i="28" s="1"/>
  <c r="J14" i="26"/>
  <c r="B9" i="28" s="1"/>
  <c r="J25" i="26"/>
  <c r="B20" i="28" s="1"/>
  <c r="J21" i="26"/>
  <c r="B16" i="28" s="1"/>
  <c r="J15" i="26"/>
  <c r="B10" i="28" s="1"/>
  <c r="J13" i="26"/>
  <c r="B8" i="28" s="1"/>
  <c r="J10" i="26"/>
  <c r="B5" i="28" s="1"/>
  <c r="J12" i="26"/>
  <c r="B7" i="28" s="1"/>
  <c r="J11" i="26"/>
  <c r="B6" i="28" s="1"/>
  <c r="J16" i="26"/>
  <c r="B11" i="28" s="1"/>
  <c r="J26" i="26"/>
  <c r="B21" i="28" s="1"/>
  <c r="J22" i="26"/>
  <c r="B17" i="28" s="1"/>
  <c r="J17" i="26"/>
  <c r="B12" i="28" s="1"/>
  <c r="J18" i="26"/>
  <c r="B13" i="28" s="1"/>
  <c r="B60" i="9"/>
  <c r="B63" i="9" s="1"/>
  <c r="B65" i="9" s="1"/>
  <c r="A12" i="3"/>
  <c r="X17" i="11"/>
  <c r="X15" i="11"/>
  <c r="X13" i="11"/>
  <c r="X30" i="11"/>
  <c r="X28" i="11"/>
  <c r="X26" i="11"/>
  <c r="X24" i="11"/>
  <c r="X22" i="11"/>
  <c r="X20" i="11"/>
  <c r="X18" i="11"/>
  <c r="X32" i="11"/>
  <c r="X16" i="11"/>
  <c r="X14" i="11"/>
  <c r="X12" i="11"/>
  <c r="X31" i="11"/>
  <c r="X29" i="11"/>
  <c r="X27" i="11"/>
  <c r="X25" i="11"/>
  <c r="E5" i="11"/>
  <c r="X23" i="11"/>
  <c r="X21" i="11"/>
  <c r="X19" i="11"/>
  <c r="B12" i="3"/>
  <c r="B29" i="3" s="1"/>
  <c r="C29" i="3" s="1"/>
  <c r="B9" i="30" s="1"/>
  <c r="C36" i="8"/>
  <c r="D50" i="8"/>
  <c r="C31" i="11"/>
  <c r="C29" i="11"/>
  <c r="C12" i="11"/>
  <c r="C27" i="11"/>
  <c r="B32" i="23"/>
  <c r="C25" i="11"/>
  <c r="C23" i="11"/>
  <c r="C21" i="11"/>
  <c r="C19" i="11"/>
  <c r="C17" i="11"/>
  <c r="C15" i="11"/>
  <c r="C13" i="11"/>
  <c r="C11" i="11"/>
  <c r="C30" i="11"/>
  <c r="C28" i="11"/>
  <c r="C26" i="11"/>
  <c r="C24" i="11"/>
  <c r="C22" i="11"/>
  <c r="C20" i="11"/>
  <c r="C18" i="11"/>
  <c r="C16" i="11"/>
  <c r="C14" i="11"/>
  <c r="C51" i="7"/>
  <c r="G49" i="7" s="1"/>
  <c r="B41" i="8"/>
  <c r="D49" i="8"/>
  <c r="C11" i="10"/>
  <c r="C20" i="10" s="1"/>
  <c r="C34" i="8"/>
  <c r="D52" i="8"/>
  <c r="H18" i="3"/>
  <c r="G18" i="3" s="1"/>
  <c r="D37" i="8"/>
  <c r="E9" i="10" s="1"/>
  <c r="E22" i="10" s="1"/>
  <c r="B42" i="8"/>
  <c r="E18" i="15"/>
  <c r="E23" i="15"/>
  <c r="X17" i="14"/>
  <c r="X25" i="14"/>
  <c r="B13" i="26"/>
  <c r="E13" i="19"/>
  <c r="C18" i="14"/>
  <c r="C26" i="14"/>
  <c r="E21" i="20"/>
  <c r="X18" i="14"/>
  <c r="X26" i="14"/>
  <c r="E16" i="20"/>
  <c r="E20" i="22"/>
  <c r="E25" i="15"/>
  <c r="E30" i="15"/>
  <c r="E17" i="19"/>
  <c r="C19" i="14"/>
  <c r="C27" i="14"/>
  <c r="E27" i="20"/>
  <c r="E15" i="22"/>
  <c r="E31" i="22"/>
  <c r="P25" i="22" s="1"/>
  <c r="E20" i="15"/>
  <c r="E30" i="19"/>
  <c r="X19" i="14"/>
  <c r="X27" i="14"/>
  <c r="E22" i="20"/>
  <c r="W18" i="26"/>
  <c r="V18" i="26" s="1"/>
  <c r="F30" i="26"/>
  <c r="E15" i="15"/>
  <c r="E27" i="15"/>
  <c r="E17" i="20"/>
  <c r="E21" i="22"/>
  <c r="W17" i="26"/>
  <c r="V17" i="26" s="1"/>
  <c r="W22" i="26"/>
  <c r="V22" i="26" s="1"/>
  <c r="X12" i="14"/>
  <c r="X20" i="14"/>
  <c r="X28" i="14"/>
  <c r="E12" i="20"/>
  <c r="E28" i="20"/>
  <c r="W26" i="26"/>
  <c r="V26" i="26" s="1"/>
  <c r="F29" i="26"/>
  <c r="E17" i="15"/>
  <c r="E22" i="15"/>
  <c r="E18" i="19"/>
  <c r="W16" i="26"/>
  <c r="V16" i="26" s="1"/>
  <c r="F20" i="26"/>
  <c r="X13" i="14"/>
  <c r="X21" i="14"/>
  <c r="X29" i="14"/>
  <c r="E11" i="22"/>
  <c r="E22" i="22"/>
  <c r="W11" i="26"/>
  <c r="V11" i="26" s="1"/>
  <c r="W12" i="26"/>
  <c r="V12" i="26" s="1"/>
  <c r="E29" i="15"/>
  <c r="E29" i="20"/>
  <c r="E17" i="22"/>
  <c r="W10" i="26"/>
  <c r="V10" i="26" s="1"/>
  <c r="W13" i="26"/>
  <c r="V13" i="26" s="1"/>
  <c r="W15" i="26"/>
  <c r="V15" i="26" s="1"/>
  <c r="W21" i="26"/>
  <c r="V21" i="26" s="1"/>
  <c r="W25" i="26"/>
  <c r="V25" i="26" s="1"/>
  <c r="F28" i="26"/>
  <c r="E19" i="15"/>
  <c r="E24" i="15"/>
  <c r="E31" i="19"/>
  <c r="X14" i="14"/>
  <c r="X22" i="14"/>
  <c r="X30" i="14"/>
  <c r="E24" i="20"/>
  <c r="E12" i="22"/>
  <c r="E28" i="22"/>
  <c r="Y2" i="26"/>
  <c r="W14" i="26"/>
  <c r="V14" i="26" s="1"/>
  <c r="W30" i="26"/>
  <c r="V30" i="26" s="1"/>
  <c r="AH16" i="26"/>
  <c r="AH17" i="26" s="1"/>
  <c r="F19" i="26"/>
  <c r="F23" i="26"/>
  <c r="E14" i="15"/>
  <c r="E26" i="15"/>
  <c r="E31" i="15"/>
  <c r="E15" i="19"/>
  <c r="X15" i="14"/>
  <c r="X23" i="14"/>
  <c r="X31" i="14"/>
  <c r="E18" i="22"/>
  <c r="W24" i="26"/>
  <c r="V24" i="26" s="1"/>
  <c r="F27" i="26"/>
  <c r="X32" i="14"/>
  <c r="E25" i="20"/>
  <c r="Y3" i="26"/>
  <c r="AH15" i="26"/>
  <c r="W20" i="26"/>
  <c r="V20" i="26" s="1"/>
  <c r="E11" i="15"/>
  <c r="E16" i="15"/>
  <c r="E21" i="15"/>
  <c r="E25" i="19"/>
  <c r="X16" i="14"/>
  <c r="X24" i="14"/>
  <c r="E24" i="22"/>
  <c r="Y5" i="26"/>
  <c r="AI26" i="26" s="1"/>
  <c r="F18" i="26"/>
  <c r="E29" i="19"/>
  <c r="C25" i="14"/>
  <c r="E15" i="20"/>
  <c r="E31" i="20"/>
  <c r="F17" i="26"/>
  <c r="F22" i="26"/>
  <c r="D6" i="4"/>
  <c r="D8" i="4"/>
  <c r="D9" i="4"/>
  <c r="D10" i="4"/>
  <c r="C15" i="4" s="1"/>
  <c r="B5" i="4"/>
  <c r="B9" i="4"/>
  <c r="A1" i="4"/>
  <c r="D5" i="4"/>
  <c r="F13" i="19"/>
  <c r="F29" i="19"/>
  <c r="F12" i="19"/>
  <c r="F28" i="19"/>
  <c r="E23" i="19"/>
  <c r="F24" i="19"/>
  <c r="E22" i="19"/>
  <c r="F23" i="19"/>
  <c r="F27" i="19"/>
  <c r="F26" i="19"/>
  <c r="F21" i="19"/>
  <c r="F11" i="19"/>
  <c r="E19" i="19"/>
  <c r="F20" i="19"/>
  <c r="F22" i="19"/>
  <c r="E11" i="19"/>
  <c r="E20" i="19"/>
  <c r="F19" i="19"/>
  <c r="F18" i="19"/>
  <c r="F25" i="19"/>
  <c r="E16" i="19"/>
  <c r="F17" i="19"/>
  <c r="F16" i="19"/>
  <c r="F15" i="19"/>
  <c r="F31" i="19"/>
  <c r="F14" i="19"/>
  <c r="AJ27" i="26"/>
  <c r="P25" i="15"/>
  <c r="N25" i="11"/>
  <c r="F31" i="22"/>
  <c r="F11" i="22"/>
  <c r="F20" i="22"/>
  <c r="F29" i="22"/>
  <c r="F15" i="22"/>
  <c r="F26" i="22"/>
  <c r="F14" i="22"/>
  <c r="F28" i="22"/>
  <c r="F12" i="22"/>
  <c r="F30" i="22"/>
  <c r="F17" i="22"/>
  <c r="B99" i="9"/>
  <c r="C99" i="9" s="1"/>
  <c r="M43" i="9"/>
  <c r="N43" i="9" s="1"/>
  <c r="M45" i="9"/>
  <c r="N45" i="9" s="1"/>
  <c r="M48" i="9"/>
  <c r="N48" i="9" s="1"/>
  <c r="M46" i="9"/>
  <c r="N46" i="9" s="1"/>
  <c r="M49" i="9"/>
  <c r="N49" i="9" s="1"/>
  <c r="B101" i="9"/>
  <c r="C101" i="9" s="1"/>
  <c r="M47" i="9"/>
  <c r="N47" i="9" s="1"/>
  <c r="M74" i="9"/>
  <c r="N74" i="9" s="1"/>
  <c r="F23" i="20"/>
  <c r="F28" i="20"/>
  <c r="F24" i="20"/>
  <c r="F29" i="20"/>
  <c r="F15" i="20"/>
  <c r="E14" i="22"/>
  <c r="E25" i="22"/>
  <c r="E30" i="22"/>
  <c r="E19" i="22"/>
  <c r="E16" i="22"/>
  <c r="F13" i="22"/>
  <c r="E29" i="22"/>
  <c r="E13" i="22"/>
  <c r="F16" i="22"/>
  <c r="E26" i="22"/>
  <c r="F27" i="22"/>
  <c r="E23" i="22"/>
  <c r="F24" i="22"/>
  <c r="F23" i="22"/>
  <c r="E27" i="22"/>
  <c r="F25" i="22"/>
  <c r="F22" i="22"/>
  <c r="F21" i="22"/>
  <c r="F19" i="22"/>
  <c r="F31" i="20"/>
  <c r="F13" i="20"/>
  <c r="F30" i="20"/>
  <c r="F12" i="20"/>
  <c r="F16" i="20"/>
  <c r="F14" i="20"/>
  <c r="E23" i="20"/>
  <c r="E13" i="20"/>
  <c r="E14" i="20"/>
  <c r="E30" i="20"/>
  <c r="E26" i="20"/>
  <c r="F27" i="20"/>
  <c r="F26" i="20"/>
  <c r="F25" i="20"/>
  <c r="F22" i="20"/>
  <c r="E11" i="20"/>
  <c r="E20" i="20"/>
  <c r="F11" i="20"/>
  <c r="E19" i="20"/>
  <c r="F20" i="20"/>
  <c r="E18" i="20"/>
  <c r="F19" i="20"/>
  <c r="F18" i="20"/>
  <c r="F21" i="20"/>
  <c r="D25" i="14"/>
  <c r="D27" i="14"/>
  <c r="D17" i="14"/>
  <c r="D19" i="14"/>
  <c r="D26" i="14"/>
  <c r="C16" i="14"/>
  <c r="C11" i="14"/>
  <c r="C17" i="14"/>
  <c r="C24" i="14"/>
  <c r="D28" i="14"/>
  <c r="D20" i="14"/>
  <c r="D12" i="14"/>
  <c r="D31" i="14"/>
  <c r="D29" i="14"/>
  <c r="D21" i="14"/>
  <c r="D13" i="14"/>
  <c r="D30" i="14"/>
  <c r="D22" i="14"/>
  <c r="D14" i="14"/>
  <c r="D23" i="14"/>
  <c r="D15" i="14"/>
  <c r="D11" i="14"/>
  <c r="D24" i="14"/>
  <c r="D16" i="14"/>
  <c r="C15" i="14"/>
  <c r="C23" i="14"/>
  <c r="C31" i="14"/>
  <c r="C14" i="14"/>
  <c r="C22" i="14"/>
  <c r="C30" i="14"/>
  <c r="C13" i="14"/>
  <c r="C21" i="14"/>
  <c r="C29" i="14"/>
  <c r="C12" i="14"/>
  <c r="C20" i="14"/>
  <c r="C28" i="14"/>
  <c r="Q147" i="9"/>
  <c r="N181" i="9" s="1"/>
  <c r="AJ23" i="26"/>
  <c r="AJ28" i="26"/>
  <c r="AG29" i="26"/>
  <c r="AI24" i="26"/>
  <c r="AJ24" i="26"/>
  <c r="C12" i="3" l="1"/>
  <c r="D12" i="3" s="1"/>
  <c r="B26" i="3"/>
  <c r="C26" i="3" s="1"/>
  <c r="B14" i="3"/>
  <c r="B27" i="3"/>
  <c r="C27" i="3" s="1"/>
  <c r="B7" i="30" s="1"/>
  <c r="B30" i="3"/>
  <c r="C30" i="3" s="1"/>
  <c r="B10" i="30" s="1"/>
  <c r="E14" i="3"/>
  <c r="B23" i="3" s="1"/>
  <c r="C23" i="3" s="1"/>
  <c r="B3" i="30" s="1"/>
  <c r="C14" i="3"/>
  <c r="B31" i="3"/>
  <c r="C31" i="3" s="1"/>
  <c r="B11" i="30" s="1"/>
  <c r="A14" i="3"/>
  <c r="F12" i="3"/>
  <c r="B35" i="3" s="1"/>
  <c r="C35" i="3" s="1"/>
  <c r="B15" i="30" s="1"/>
  <c r="B28" i="3"/>
  <c r="C28" i="3" s="1"/>
  <c r="B8" i="30" s="1"/>
  <c r="B50" i="8"/>
  <c r="D19" i="30"/>
  <c r="I39" i="3"/>
  <c r="H39" i="3"/>
  <c r="G19" i="30" s="1"/>
  <c r="D17" i="30"/>
  <c r="I37" i="3"/>
  <c r="H37" i="3"/>
  <c r="G17" i="30" s="1"/>
  <c r="D18" i="30"/>
  <c r="H38" i="3"/>
  <c r="G18" i="30" s="1"/>
  <c r="I38" i="3"/>
  <c r="E12" i="3"/>
  <c r="B41" i="3" s="1"/>
  <c r="C41" i="3" s="1"/>
  <c r="B21" i="30" s="1"/>
  <c r="B40" i="3"/>
  <c r="C40" i="3" s="1"/>
  <c r="B20" i="30" s="1"/>
  <c r="D14" i="3"/>
  <c r="B42" i="3"/>
  <c r="C42" i="3" s="1"/>
  <c r="B22" i="30" s="1"/>
  <c r="G29" i="3"/>
  <c r="F9" i="30" s="1"/>
  <c r="E29" i="3"/>
  <c r="D9" i="30" s="1"/>
  <c r="E25" i="10"/>
  <c r="U39" i="1"/>
  <c r="Q36" i="1"/>
  <c r="U52" i="1"/>
  <c r="T48" i="1"/>
  <c r="C52" i="8"/>
  <c r="C53" i="8"/>
  <c r="V52" i="1"/>
  <c r="P25" i="19"/>
  <c r="B7" i="11"/>
  <c r="AI28" i="26"/>
  <c r="AI23" i="26"/>
  <c r="R36" i="1"/>
  <c r="S46" i="1"/>
  <c r="V50" i="1"/>
  <c r="S49" i="1"/>
  <c r="W29" i="26"/>
  <c r="V29" i="26" s="1"/>
  <c r="W19" i="26"/>
  <c r="V19" i="26" s="1"/>
  <c r="W28" i="26"/>
  <c r="V28" i="26" s="1"/>
  <c r="W27" i="26"/>
  <c r="V27" i="26" s="1"/>
  <c r="W23" i="26"/>
  <c r="V23" i="26" s="1"/>
  <c r="M33" i="1"/>
  <c r="Q46" i="1" s="1"/>
  <c r="T50" i="1"/>
  <c r="C16" i="10"/>
  <c r="AI27" i="26"/>
  <c r="U50" i="1"/>
  <c r="X19" i="1"/>
  <c r="S34" i="1"/>
  <c r="R49" i="1"/>
  <c r="T40" i="1"/>
  <c r="X25" i="1"/>
  <c r="X53" i="1" s="1"/>
  <c r="S40" i="1"/>
  <c r="AI25" i="26"/>
  <c r="B22" i="3"/>
  <c r="C22" i="3" s="1"/>
  <c r="B2" i="30" s="1"/>
  <c r="U46" i="1"/>
  <c r="T46" i="1"/>
  <c r="X22" i="1"/>
  <c r="Q50" i="1"/>
  <c r="T37" i="1"/>
  <c r="V47" i="1"/>
  <c r="R37" i="1"/>
  <c r="D53" i="8"/>
  <c r="S37" i="1"/>
  <c r="T52" i="1"/>
  <c r="V37" i="1"/>
  <c r="C13" i="10"/>
  <c r="C18" i="10" s="1"/>
  <c r="X8" i="1"/>
  <c r="W35" i="1"/>
  <c r="C10" i="10"/>
  <c r="C21" i="10" s="1"/>
  <c r="B52" i="8"/>
  <c r="U45" i="1"/>
  <c r="U43" i="1"/>
  <c r="U41" i="1"/>
  <c r="U44" i="1"/>
  <c r="U42" i="1"/>
  <c r="U40" i="1"/>
  <c r="V45" i="1"/>
  <c r="V43" i="1"/>
  <c r="V41" i="1"/>
  <c r="V44" i="1"/>
  <c r="V42" i="1"/>
  <c r="E41" i="3"/>
  <c r="D21" i="30" s="1"/>
  <c r="S27" i="23"/>
  <c r="U27" i="23" s="1"/>
  <c r="D27" i="23"/>
  <c r="F27" i="23" s="1"/>
  <c r="Z7" i="23"/>
  <c r="B31" i="25"/>
  <c r="K7" i="23"/>
  <c r="B31" i="24"/>
  <c r="AC53" i="10"/>
  <c r="AC39" i="10"/>
  <c r="B53" i="8"/>
  <c r="B36" i="9"/>
  <c r="B35" i="9"/>
  <c r="B87" i="9"/>
  <c r="B86" i="9"/>
  <c r="Q35" i="1"/>
  <c r="W39" i="1"/>
  <c r="X12" i="1"/>
  <c r="D6" i="5" a="1"/>
  <c r="S36" i="1"/>
  <c r="X13" i="1"/>
  <c r="Q34" i="1"/>
  <c r="R51" i="1"/>
  <c r="C14" i="10"/>
  <c r="C17" i="10" s="1"/>
  <c r="W37" i="1"/>
  <c r="X10" i="1"/>
  <c r="S41" i="1"/>
  <c r="S45" i="1"/>
  <c r="S43" i="1"/>
  <c r="S42" i="1"/>
  <c r="S44" i="1"/>
  <c r="T49" i="1"/>
  <c r="W51" i="1"/>
  <c r="Y24" i="26"/>
  <c r="Y20" i="26"/>
  <c r="Y14" i="26"/>
  <c r="Y30" i="26"/>
  <c r="Y25" i="26"/>
  <c r="Y15" i="26"/>
  <c r="Y13" i="26"/>
  <c r="Y21" i="26"/>
  <c r="Y12" i="26"/>
  <c r="Y11" i="26"/>
  <c r="Y10" i="26"/>
  <c r="Y16" i="26"/>
  <c r="Y26" i="26"/>
  <c r="Y17" i="26"/>
  <c r="Y22" i="26"/>
  <c r="Y18" i="26"/>
  <c r="Y27" i="26"/>
  <c r="Y28" i="26"/>
  <c r="Y23" i="26"/>
  <c r="Y19" i="26"/>
  <c r="Y29" i="26"/>
  <c r="V48" i="1"/>
  <c r="T38" i="1"/>
  <c r="W52" i="1"/>
  <c r="X23" i="1"/>
  <c r="S51" i="1"/>
  <c r="W46" i="1"/>
  <c r="X16" i="1"/>
  <c r="X6" i="1"/>
  <c r="X33" i="1" s="1"/>
  <c r="W33" i="1"/>
  <c r="U49" i="1"/>
  <c r="L23" i="26"/>
  <c r="L19" i="26"/>
  <c r="L28" i="26"/>
  <c r="L29" i="26"/>
  <c r="L20" i="26"/>
  <c r="L24" i="26"/>
  <c r="L30" i="26"/>
  <c r="L14" i="26"/>
  <c r="L25" i="26"/>
  <c r="L21" i="26"/>
  <c r="L15" i="26"/>
  <c r="L13" i="26"/>
  <c r="L10" i="26"/>
  <c r="L12" i="26"/>
  <c r="L11" i="26"/>
  <c r="L16" i="26"/>
  <c r="L26" i="26"/>
  <c r="L22" i="26"/>
  <c r="L17" i="26"/>
  <c r="L18" i="26"/>
  <c r="L27" i="26"/>
  <c r="U51" i="1"/>
  <c r="R52" i="1"/>
  <c r="W48" i="1"/>
  <c r="X18" i="1"/>
  <c r="X48" i="1" s="1"/>
  <c r="C51" i="8"/>
  <c r="D8" i="10"/>
  <c r="D23" i="10" s="1"/>
  <c r="T41" i="1"/>
  <c r="T43" i="1"/>
  <c r="T45" i="1"/>
  <c r="T44" i="1"/>
  <c r="T42" i="1"/>
  <c r="T51" i="1"/>
  <c r="U38" i="1"/>
  <c r="X14" i="1"/>
  <c r="W40" i="1"/>
  <c r="T36" i="1"/>
  <c r="V39" i="1"/>
  <c r="R50" i="1"/>
  <c r="U47" i="1"/>
  <c r="U48" i="1"/>
  <c r="V49" i="1"/>
  <c r="V38" i="1"/>
  <c r="J44" i="7"/>
  <c r="M44" i="7" s="1"/>
  <c r="C82" i="7"/>
  <c r="C83" i="7" s="1"/>
  <c r="M9" i="7"/>
  <c r="P9" i="7" s="1"/>
  <c r="G50" i="7"/>
  <c r="P52" i="7" s="1"/>
  <c r="J48" i="7"/>
  <c r="M48" i="7" s="1"/>
  <c r="B3" i="9"/>
  <c r="A15" i="8"/>
  <c r="C18" i="8" s="1"/>
  <c r="D18" i="8" s="1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AI14" i="26"/>
  <c r="AI13" i="26"/>
  <c r="AI15" i="26"/>
  <c r="AI12" i="26"/>
  <c r="AI11" i="26"/>
  <c r="AI30" i="26"/>
  <c r="AI21" i="26"/>
  <c r="AI16" i="26"/>
  <c r="AI10" i="26"/>
  <c r="AI17" i="26"/>
  <c r="AI22" i="26"/>
  <c r="AI18" i="26"/>
  <c r="AI19" i="26"/>
  <c r="AI20" i="26"/>
  <c r="I18" i="26"/>
  <c r="C13" i="28" s="1"/>
  <c r="I27" i="26"/>
  <c r="C22" i="28" s="1"/>
  <c r="I23" i="26"/>
  <c r="C18" i="28" s="1"/>
  <c r="I19" i="26"/>
  <c r="C14" i="28" s="1"/>
  <c r="I28" i="26"/>
  <c r="C23" i="28" s="1"/>
  <c r="I29" i="26"/>
  <c r="C24" i="28" s="1"/>
  <c r="I20" i="26"/>
  <c r="C15" i="28" s="1"/>
  <c r="I24" i="26"/>
  <c r="C19" i="28" s="1"/>
  <c r="I30" i="26"/>
  <c r="C25" i="28" s="1"/>
  <c r="I14" i="26"/>
  <c r="C9" i="28" s="1"/>
  <c r="I25" i="26"/>
  <c r="C20" i="28" s="1"/>
  <c r="I21" i="26"/>
  <c r="C16" i="28" s="1"/>
  <c r="I15" i="26"/>
  <c r="C10" i="28" s="1"/>
  <c r="I13" i="26"/>
  <c r="C8" i="28" s="1"/>
  <c r="I10" i="26"/>
  <c r="C5" i="28" s="1"/>
  <c r="I12" i="26"/>
  <c r="C7" i="28" s="1"/>
  <c r="I11" i="26"/>
  <c r="C6" i="28" s="1"/>
  <c r="I16" i="26"/>
  <c r="C11" i="28" s="1"/>
  <c r="I26" i="26"/>
  <c r="C21" i="28" s="1"/>
  <c r="B10" i="26"/>
  <c r="I22" i="26"/>
  <c r="C17" i="28" s="1"/>
  <c r="I17" i="26"/>
  <c r="C12" i="28" s="1"/>
  <c r="D16" i="10"/>
  <c r="C49" i="8"/>
  <c r="C43" i="8"/>
  <c r="V40" i="1"/>
  <c r="Q52" i="1"/>
  <c r="U36" i="1"/>
  <c r="S39" i="1"/>
  <c r="W45" i="1"/>
  <c r="W43" i="1"/>
  <c r="W41" i="1"/>
  <c r="W44" i="1"/>
  <c r="W42" i="1"/>
  <c r="X15" i="1"/>
  <c r="T47" i="1"/>
  <c r="V35" i="1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7" i="5"/>
  <c r="E26" i="3"/>
  <c r="D6" i="30" s="1"/>
  <c r="B6" i="30"/>
  <c r="S38" i="1"/>
  <c r="R38" i="1"/>
  <c r="S50" i="1"/>
  <c r="U34" i="1"/>
  <c r="X21" i="1"/>
  <c r="W50" i="1"/>
  <c r="V34" i="1"/>
  <c r="R34" i="1"/>
  <c r="U35" i="1"/>
  <c r="E28" i="3"/>
  <c r="D8" i="30" s="1"/>
  <c r="S35" i="1"/>
  <c r="X9" i="1"/>
  <c r="W36" i="1"/>
  <c r="T34" i="1"/>
  <c r="V46" i="1"/>
  <c r="S52" i="1"/>
  <c r="G31" i="3"/>
  <c r="F11" i="30" s="1"/>
  <c r="G35" i="3"/>
  <c r="F15" i="30" s="1"/>
  <c r="D51" i="8"/>
  <c r="D27" i="11"/>
  <c r="D25" i="11"/>
  <c r="D23" i="11"/>
  <c r="D21" i="11"/>
  <c r="D19" i="11"/>
  <c r="D17" i="11"/>
  <c r="D15" i="11"/>
  <c r="D13" i="11"/>
  <c r="D11" i="11"/>
  <c r="D30" i="11"/>
  <c r="D28" i="11"/>
  <c r="D26" i="11"/>
  <c r="D24" i="11"/>
  <c r="D22" i="11"/>
  <c r="D20" i="11"/>
  <c r="D18" i="11"/>
  <c r="D16" i="11"/>
  <c r="D14" i="11"/>
  <c r="D31" i="11"/>
  <c r="D29" i="11"/>
  <c r="D12" i="11"/>
  <c r="R35" i="1"/>
  <c r="W49" i="1"/>
  <c r="X20" i="1"/>
  <c r="W47" i="1"/>
  <c r="X17" i="1"/>
  <c r="C89" i="7"/>
  <c r="U37" i="1"/>
  <c r="X11" i="1"/>
  <c r="W38" i="1"/>
  <c r="B43" i="8"/>
  <c r="Q51" i="1"/>
  <c r="B34" i="3"/>
  <c r="C34" i="3" s="1"/>
  <c r="B14" i="30" s="1"/>
  <c r="D43" i="8"/>
  <c r="T39" i="1"/>
  <c r="X24" i="1"/>
  <c r="W34" i="1"/>
  <c r="X7" i="1"/>
  <c r="X34" i="1" s="1"/>
  <c r="V51" i="1"/>
  <c r="Q37" i="1"/>
  <c r="S48" i="1"/>
  <c r="T35" i="1"/>
  <c r="M15" i="4"/>
  <c r="L15" i="4"/>
  <c r="J15" i="4"/>
  <c r="L18" i="4"/>
  <c r="H15" i="4"/>
  <c r="C17" i="4"/>
  <c r="G15" i="4"/>
  <c r="V15" i="4"/>
  <c r="F15" i="4"/>
  <c r="D17" i="4" s="1"/>
  <c r="I15" i="4"/>
  <c r="U15" i="4"/>
  <c r="E15" i="4"/>
  <c r="T15" i="4"/>
  <c r="D15" i="4"/>
  <c r="S15" i="4"/>
  <c r="P15" i="4"/>
  <c r="R15" i="4"/>
  <c r="Q15" i="4"/>
  <c r="O15" i="4"/>
  <c r="N15" i="4"/>
  <c r="K15" i="4"/>
  <c r="E30" i="3"/>
  <c r="D10" i="30" s="1"/>
  <c r="G30" i="3"/>
  <c r="F10" i="30" s="1"/>
  <c r="E23" i="3"/>
  <c r="D3" i="30" s="1"/>
  <c r="G23" i="3"/>
  <c r="F3" i="30" s="1"/>
  <c r="B25" i="3"/>
  <c r="C25" i="3" s="1"/>
  <c r="B5" i="30" s="1"/>
  <c r="B24" i="3"/>
  <c r="C24" i="3" s="1"/>
  <c r="B4" i="30" s="1"/>
  <c r="B44" i="3"/>
  <c r="C44" i="3" s="1"/>
  <c r="B24" i="30" s="1"/>
  <c r="B43" i="3"/>
  <c r="C43" i="3" s="1"/>
  <c r="B23" i="30" s="1"/>
  <c r="B45" i="3"/>
  <c r="C45" i="3" s="1"/>
  <c r="B25" i="30" s="1"/>
  <c r="B46" i="3"/>
  <c r="C46" i="3" s="1"/>
  <c r="B26" i="30" s="1"/>
  <c r="B49" i="3"/>
  <c r="C49" i="3" s="1"/>
  <c r="B29" i="30" s="1"/>
  <c r="B47" i="3"/>
  <c r="C47" i="3" s="1"/>
  <c r="B27" i="30" s="1"/>
  <c r="B48" i="3"/>
  <c r="C48" i="3" s="1"/>
  <c r="B28" i="30" s="1"/>
  <c r="E34" i="3"/>
  <c r="D14" i="30" s="1"/>
  <c r="E40" i="3"/>
  <c r="D20" i="30" s="1"/>
  <c r="G40" i="3"/>
  <c r="F20" i="30" s="1"/>
  <c r="E27" i="3"/>
  <c r="D7" i="30" s="1"/>
  <c r="G27" i="3"/>
  <c r="F7" i="30" s="1"/>
  <c r="H41" i="3"/>
  <c r="G21" i="30" s="1"/>
  <c r="I41" i="3"/>
  <c r="P25" i="20"/>
  <c r="N25" i="14"/>
  <c r="B7" i="14"/>
  <c r="AJ29" i="26"/>
  <c r="AI29" i="26"/>
  <c r="B32" i="3" l="1"/>
  <c r="C32" i="3" s="1"/>
  <c r="M8" i="3" a="1"/>
  <c r="M8" i="3" s="1"/>
  <c r="G41" i="3"/>
  <c r="F21" i="30" s="1"/>
  <c r="E31" i="3"/>
  <c r="M2" i="3" a="1"/>
  <c r="M2" i="3" s="1"/>
  <c r="I29" i="3"/>
  <c r="Q44" i="1"/>
  <c r="Q45" i="1"/>
  <c r="Q42" i="1"/>
  <c r="Q39" i="1"/>
  <c r="Q40" i="1"/>
  <c r="M34" i="1"/>
  <c r="R47" i="1" s="1"/>
  <c r="H29" i="3"/>
  <c r="G9" i="30" s="1"/>
  <c r="G28" i="3"/>
  <c r="F8" i="30" s="1"/>
  <c r="B33" i="3"/>
  <c r="C33" i="3" s="1"/>
  <c r="B13" i="30" s="1"/>
  <c r="E22" i="3"/>
  <c r="D2" i="30" s="1"/>
  <c r="G42" i="3"/>
  <c r="F22" i="30" s="1"/>
  <c r="E42" i="3"/>
  <c r="D22" i="30" s="1"/>
  <c r="I26" i="3"/>
  <c r="H6" i="30" s="1"/>
  <c r="G22" i="3"/>
  <c r="F2" i="30" s="1"/>
  <c r="B36" i="3"/>
  <c r="C36" i="3" s="1"/>
  <c r="E35" i="3"/>
  <c r="Q41" i="1"/>
  <c r="Q47" i="1"/>
  <c r="J38" i="3"/>
  <c r="I18" i="30" s="1"/>
  <c r="H18" i="30"/>
  <c r="Q43" i="1"/>
  <c r="Q49" i="1"/>
  <c r="J37" i="3"/>
  <c r="I17" i="30" s="1"/>
  <c r="H17" i="30"/>
  <c r="J39" i="3"/>
  <c r="I19" i="30" s="1"/>
  <c r="H19" i="30"/>
  <c r="R42" i="1"/>
  <c r="R41" i="1"/>
  <c r="R44" i="1"/>
  <c r="X50" i="1"/>
  <c r="X36" i="1"/>
  <c r="X47" i="1"/>
  <c r="C25" i="10"/>
  <c r="G26" i="3"/>
  <c r="F6" i="30" s="1"/>
  <c r="H26" i="3"/>
  <c r="G6" i="30" s="1"/>
  <c r="Q38" i="1"/>
  <c r="Q48" i="1"/>
  <c r="I35" i="3"/>
  <c r="H15" i="30" s="1"/>
  <c r="X49" i="1"/>
  <c r="H28" i="3"/>
  <c r="G8" i="30" s="1"/>
  <c r="X39" i="1"/>
  <c r="X46" i="1"/>
  <c r="Q17" i="4"/>
  <c r="Q18" i="4" s="1"/>
  <c r="R39" i="1"/>
  <c r="I28" i="3"/>
  <c r="H8" i="30" s="1"/>
  <c r="X40" i="1"/>
  <c r="J29" i="3"/>
  <c r="I9" i="30" s="1"/>
  <c r="H9" i="30"/>
  <c r="W8" i="25"/>
  <c r="T8" i="25"/>
  <c r="J8" i="25"/>
  <c r="G8" i="25"/>
  <c r="G34" i="3"/>
  <c r="F14" i="30" s="1"/>
  <c r="X38" i="1"/>
  <c r="N34" i="5"/>
  <c r="M34" i="5"/>
  <c r="K34" i="5"/>
  <c r="H34" i="5"/>
  <c r="D6" i="5"/>
  <c r="L34" i="5"/>
  <c r="J34" i="5"/>
  <c r="I34" i="5"/>
  <c r="J41" i="3"/>
  <c r="I21" i="30" s="1"/>
  <c r="H21" i="30"/>
  <c r="J21" i="12"/>
  <c r="B10" i="9"/>
  <c r="J28" i="3"/>
  <c r="I8" i="30" s="1"/>
  <c r="F35" i="5" a="1"/>
  <c r="F35" i="5" s="1"/>
  <c r="J47" i="7"/>
  <c r="M47" i="7" s="1"/>
  <c r="AC52" i="10"/>
  <c r="AC38" i="10"/>
  <c r="S56" i="7"/>
  <c r="S55" i="7"/>
  <c r="D25" i="10"/>
  <c r="H31" i="3"/>
  <c r="G11" i="30" s="1"/>
  <c r="D11" i="30"/>
  <c r="I31" i="3"/>
  <c r="H11" i="30" s="1"/>
  <c r="X44" i="1"/>
  <c r="X42" i="1"/>
  <c r="X43" i="1"/>
  <c r="X45" i="1"/>
  <c r="X41" i="1"/>
  <c r="K23" i="26"/>
  <c r="K19" i="26"/>
  <c r="K28" i="26"/>
  <c r="K29" i="26"/>
  <c r="K20" i="26"/>
  <c r="K24" i="26"/>
  <c r="K30" i="26"/>
  <c r="K14" i="26"/>
  <c r="K25" i="26"/>
  <c r="K21" i="26"/>
  <c r="K15" i="26"/>
  <c r="K13" i="26"/>
  <c r="K10" i="26"/>
  <c r="K12" i="26"/>
  <c r="K11" i="26"/>
  <c r="K16" i="26"/>
  <c r="K26" i="26"/>
  <c r="K22" i="26"/>
  <c r="K17" i="26"/>
  <c r="K18" i="26"/>
  <c r="K27" i="26"/>
  <c r="E21" i="5"/>
  <c r="X37" i="1"/>
  <c r="P51" i="7"/>
  <c r="X52" i="1"/>
  <c r="C84" i="7"/>
  <c r="C95" i="7" s="1"/>
  <c r="C93" i="7"/>
  <c r="C92" i="7"/>
  <c r="T8" i="24"/>
  <c r="J8" i="24"/>
  <c r="G8" i="24"/>
  <c r="W8" i="24"/>
  <c r="X35" i="1"/>
  <c r="X51" i="1"/>
  <c r="K17" i="4"/>
  <c r="K18" i="4" s="1"/>
  <c r="S17" i="4"/>
  <c r="S18" i="4" s="1"/>
  <c r="G17" i="4"/>
  <c r="G18" i="4" s="1"/>
  <c r="C10" i="7"/>
  <c r="D18" i="4"/>
  <c r="U17" i="4"/>
  <c r="U18" i="4" s="1"/>
  <c r="V17" i="4"/>
  <c r="V18" i="4" s="1"/>
  <c r="C18" i="4"/>
  <c r="C9" i="7"/>
  <c r="G9" i="7" s="1"/>
  <c r="G12" i="7" s="1"/>
  <c r="I17" i="4"/>
  <c r="I18" i="4" s="1"/>
  <c r="M17" i="4"/>
  <c r="M18" i="4" s="1"/>
  <c r="O17" i="4"/>
  <c r="O18" i="4" s="1"/>
  <c r="I22" i="3"/>
  <c r="H2" i="30" s="1"/>
  <c r="H22" i="3"/>
  <c r="G2" i="30" s="1"/>
  <c r="H40" i="3"/>
  <c r="G20" i="30" s="1"/>
  <c r="I40" i="3"/>
  <c r="E45" i="3"/>
  <c r="D25" i="30" s="1"/>
  <c r="G45" i="3"/>
  <c r="F25" i="30" s="1"/>
  <c r="E43" i="3"/>
  <c r="D23" i="30" s="1"/>
  <c r="G43" i="3"/>
  <c r="F23" i="30" s="1"/>
  <c r="E44" i="3"/>
  <c r="D24" i="30" s="1"/>
  <c r="G44" i="3"/>
  <c r="F24" i="30" s="1"/>
  <c r="H34" i="3"/>
  <c r="G14" i="30" s="1"/>
  <c r="I34" i="3"/>
  <c r="E24" i="3"/>
  <c r="D4" i="30" s="1"/>
  <c r="G24" i="3"/>
  <c r="F4" i="30" s="1"/>
  <c r="E25" i="3"/>
  <c r="D5" i="30" s="1"/>
  <c r="G25" i="3"/>
  <c r="F5" i="30" s="1"/>
  <c r="I23" i="3"/>
  <c r="H23" i="3"/>
  <c r="G3" i="30" s="1"/>
  <c r="E48" i="3"/>
  <c r="D28" i="30" s="1"/>
  <c r="G48" i="3"/>
  <c r="F28" i="30" s="1"/>
  <c r="E47" i="3"/>
  <c r="D27" i="30" s="1"/>
  <c r="G47" i="3"/>
  <c r="F27" i="30" s="1"/>
  <c r="I42" i="3"/>
  <c r="H42" i="3"/>
  <c r="G22" i="30" s="1"/>
  <c r="I27" i="3"/>
  <c r="H27" i="3"/>
  <c r="G7" i="30" s="1"/>
  <c r="E49" i="3"/>
  <c r="D29" i="30" s="1"/>
  <c r="G49" i="3"/>
  <c r="F29" i="30" s="1"/>
  <c r="E46" i="3"/>
  <c r="D26" i="30" s="1"/>
  <c r="G46" i="3"/>
  <c r="F26" i="30" s="1"/>
  <c r="J26" i="3"/>
  <c r="I6" i="30" s="1"/>
  <c r="I30" i="3"/>
  <c r="H30" i="3"/>
  <c r="G10" i="30" s="1"/>
  <c r="O8" i="30" l="1"/>
  <c r="P8" i="30"/>
  <c r="S8" i="30" s="1"/>
  <c r="Q8" i="30"/>
  <c r="Q6" i="30"/>
  <c r="O6" i="30"/>
  <c r="P7" i="30"/>
  <c r="Q7" i="30"/>
  <c r="O7" i="30"/>
  <c r="R7" i="30" s="1"/>
  <c r="E33" i="3"/>
  <c r="G33" i="3"/>
  <c r="F13" i="30" s="1"/>
  <c r="B12" i="30"/>
  <c r="G32" i="3"/>
  <c r="E32" i="3"/>
  <c r="R43" i="1"/>
  <c r="R48" i="1"/>
  <c r="R46" i="1"/>
  <c r="E20" i="5" s="1"/>
  <c r="R45" i="1"/>
  <c r="E19" i="5" s="1"/>
  <c r="R40" i="1"/>
  <c r="E14" i="5" s="1"/>
  <c r="D15" i="30"/>
  <c r="H35" i="3"/>
  <c r="G15" i="30" s="1"/>
  <c r="B16" i="30"/>
  <c r="E36" i="3"/>
  <c r="G36" i="3"/>
  <c r="F16" i="30" s="1"/>
  <c r="J35" i="3"/>
  <c r="I15" i="30" s="1"/>
  <c r="E17" i="5"/>
  <c r="F17" i="5" s="1"/>
  <c r="E23" i="5"/>
  <c r="F23" i="5" s="1"/>
  <c r="E18" i="5"/>
  <c r="F18" i="5" s="1"/>
  <c r="E11" i="5"/>
  <c r="J30" i="3"/>
  <c r="I10" i="30" s="1"/>
  <c r="H10" i="30"/>
  <c r="J40" i="3"/>
  <c r="I20" i="30" s="1"/>
  <c r="H20" i="30"/>
  <c r="J23" i="3"/>
  <c r="I3" i="30" s="1"/>
  <c r="H3" i="30"/>
  <c r="F14" i="5"/>
  <c r="B14" i="9"/>
  <c r="H13" i="9" s="1"/>
  <c r="M12" i="9" s="1"/>
  <c r="B13" i="9"/>
  <c r="B9" i="9"/>
  <c r="B11" i="9" s="1"/>
  <c r="B12" i="9"/>
  <c r="G34" i="5"/>
  <c r="E10" i="5"/>
  <c r="E27" i="5"/>
  <c r="E7" i="5"/>
  <c r="E8" i="5"/>
  <c r="E25" i="5"/>
  <c r="F21" i="5"/>
  <c r="E15" i="5"/>
  <c r="E26" i="5"/>
  <c r="F11" i="5"/>
  <c r="J34" i="3"/>
  <c r="I14" i="30" s="1"/>
  <c r="H14" i="30"/>
  <c r="J27" i="3"/>
  <c r="I7" i="30" s="1"/>
  <c r="H7" i="30"/>
  <c r="E24" i="5"/>
  <c r="E13" i="5"/>
  <c r="J42" i="3"/>
  <c r="I22" i="30" s="1"/>
  <c r="H22" i="30"/>
  <c r="E9" i="5"/>
  <c r="E12" i="5"/>
  <c r="S53" i="7"/>
  <c r="P53" i="7"/>
  <c r="S54" i="7"/>
  <c r="J31" i="3"/>
  <c r="I11" i="30" s="1"/>
  <c r="E16" i="5"/>
  <c r="E22" i="5"/>
  <c r="C11" i="7"/>
  <c r="C110" i="7"/>
  <c r="X17" i="4"/>
  <c r="X18" i="4"/>
  <c r="I24" i="3"/>
  <c r="H24" i="3"/>
  <c r="G4" i="30" s="1"/>
  <c r="H44" i="3"/>
  <c r="G24" i="30" s="1"/>
  <c r="I44" i="3"/>
  <c r="I47" i="3"/>
  <c r="H47" i="3"/>
  <c r="G27" i="30" s="1"/>
  <c r="I49" i="3"/>
  <c r="H49" i="3"/>
  <c r="G29" i="30" s="1"/>
  <c r="I43" i="3"/>
  <c r="H43" i="3"/>
  <c r="G23" i="30" s="1"/>
  <c r="I25" i="3"/>
  <c r="H25" i="3"/>
  <c r="G5" i="30" s="1"/>
  <c r="I45" i="3"/>
  <c r="H45" i="3"/>
  <c r="G25" i="30" s="1"/>
  <c r="I48" i="3"/>
  <c r="H48" i="3"/>
  <c r="G28" i="30" s="1"/>
  <c r="I46" i="3"/>
  <c r="H46" i="3"/>
  <c r="G26" i="30" s="1"/>
  <c r="J22" i="3"/>
  <c r="I2" i="30" s="1"/>
  <c r="T8" i="30" l="1"/>
  <c r="R8" i="30"/>
  <c r="S7" i="30"/>
  <c r="T7" i="30" s="1"/>
  <c r="Q4" i="30"/>
  <c r="O4" i="30"/>
  <c r="R6" i="30"/>
  <c r="S6" i="30"/>
  <c r="T6" i="30" s="1"/>
  <c r="D12" i="30"/>
  <c r="H32" i="3"/>
  <c r="G12" i="30" s="1"/>
  <c r="I32" i="3"/>
  <c r="H12" i="30" s="1"/>
  <c r="F12" i="30"/>
  <c r="J32" i="3"/>
  <c r="I12" i="30" s="1"/>
  <c r="D13" i="30"/>
  <c r="H33" i="3"/>
  <c r="G13" i="30" s="1"/>
  <c r="I33" i="3"/>
  <c r="D16" i="30"/>
  <c r="I36" i="3"/>
  <c r="H36" i="3"/>
  <c r="G16" i="30" s="1"/>
  <c r="E50" i="3"/>
  <c r="D30" i="30" s="1"/>
  <c r="J24" i="3"/>
  <c r="I4" i="30" s="1"/>
  <c r="H4" i="30"/>
  <c r="J48" i="3"/>
  <c r="I28" i="30" s="1"/>
  <c r="H28" i="30"/>
  <c r="F9" i="5"/>
  <c r="G18" i="5"/>
  <c r="F7" i="5"/>
  <c r="J45" i="3"/>
  <c r="I25" i="30" s="1"/>
  <c r="H25" i="30"/>
  <c r="G11" i="5"/>
  <c r="F27" i="5"/>
  <c r="F22" i="5"/>
  <c r="F10" i="5"/>
  <c r="J25" i="3"/>
  <c r="I5" i="30" s="1"/>
  <c r="H5" i="30"/>
  <c r="F16" i="5"/>
  <c r="G23" i="5"/>
  <c r="F19" i="5"/>
  <c r="F26" i="5"/>
  <c r="E11" i="9"/>
  <c r="E8" i="9"/>
  <c r="J43" i="3"/>
  <c r="I23" i="30" s="1"/>
  <c r="H23" i="30"/>
  <c r="F13" i="5"/>
  <c r="F15" i="5"/>
  <c r="E10" i="9"/>
  <c r="F20" i="5"/>
  <c r="G21" i="5"/>
  <c r="H12" i="9"/>
  <c r="E9" i="9"/>
  <c r="J49" i="3"/>
  <c r="I29" i="30" s="1"/>
  <c r="H29" i="30"/>
  <c r="Q180" i="9"/>
  <c r="D8" i="12" s="1"/>
  <c r="E180" i="9"/>
  <c r="D32" i="12" s="1"/>
  <c r="F25" i="5"/>
  <c r="G14" i="5"/>
  <c r="J47" i="3"/>
  <c r="I27" i="30" s="1"/>
  <c r="H27" i="30"/>
  <c r="F24" i="5"/>
  <c r="F8" i="5"/>
  <c r="J44" i="3"/>
  <c r="I24" i="30" s="1"/>
  <c r="H24" i="30"/>
  <c r="U56" i="7"/>
  <c r="U53" i="7"/>
  <c r="U55" i="7"/>
  <c r="U54" i="7"/>
  <c r="G17" i="5"/>
  <c r="S57" i="7"/>
  <c r="J46" i="3"/>
  <c r="I26" i="30" s="1"/>
  <c r="H26" i="30"/>
  <c r="F12" i="5"/>
  <c r="I112" i="7"/>
  <c r="X110" i="7"/>
  <c r="C49" i="7"/>
  <c r="C12" i="7"/>
  <c r="G14" i="7" s="1"/>
  <c r="C13" i="7"/>
  <c r="C46" i="7"/>
  <c r="R4" i="30" l="1"/>
  <c r="S4" i="30"/>
  <c r="T4" i="30" s="1"/>
  <c r="Q2" i="30"/>
  <c r="O2" i="30"/>
  <c r="P2" i="30"/>
  <c r="O3" i="30"/>
  <c r="Q3" i="30"/>
  <c r="Q5" i="30"/>
  <c r="O5" i="30"/>
  <c r="J33" i="3"/>
  <c r="I13" i="30" s="1"/>
  <c r="H13" i="30"/>
  <c r="H16" i="30"/>
  <c r="J36" i="3"/>
  <c r="I16" i="30" s="1"/>
  <c r="I50" i="3"/>
  <c r="H30" i="30" s="1"/>
  <c r="H50" i="3"/>
  <c r="C18" i="3" s="1"/>
  <c r="M25" i="28" s="1"/>
  <c r="C73" i="7"/>
  <c r="D163" i="7" s="1"/>
  <c r="U57" i="7"/>
  <c r="H11" i="5"/>
  <c r="G13" i="5"/>
  <c r="H23" i="5"/>
  <c r="G7" i="5"/>
  <c r="G12" i="5"/>
  <c r="G8" i="5"/>
  <c r="G16" i="5"/>
  <c r="H10" i="9"/>
  <c r="H11" i="9"/>
  <c r="M11" i="9" s="1"/>
  <c r="G24" i="5"/>
  <c r="H21" i="5"/>
  <c r="H18" i="5"/>
  <c r="G26" i="5"/>
  <c r="H14" i="5"/>
  <c r="G19" i="5"/>
  <c r="G10" i="5"/>
  <c r="G9" i="5"/>
  <c r="G25" i="5"/>
  <c r="G20" i="5"/>
  <c r="G22" i="5"/>
  <c r="H17" i="5"/>
  <c r="G27" i="5"/>
  <c r="H9" i="9"/>
  <c r="H8" i="9"/>
  <c r="E12" i="9"/>
  <c r="C74" i="7"/>
  <c r="D164" i="7" s="1"/>
  <c r="G15" i="5"/>
  <c r="G13" i="7"/>
  <c r="J12" i="7" s="1"/>
  <c r="J10" i="7"/>
  <c r="J11" i="7"/>
  <c r="J9" i="7"/>
  <c r="S9" i="7" s="1"/>
  <c r="C48" i="7"/>
  <c r="C50" i="7"/>
  <c r="S5" i="30" l="1"/>
  <c r="T5" i="30" s="1"/>
  <c r="R5" i="30"/>
  <c r="R3" i="30"/>
  <c r="S3" i="30"/>
  <c r="T3" i="30" s="1"/>
  <c r="S2" i="30"/>
  <c r="T2" i="30" s="1"/>
  <c r="T9" i="30" s="1"/>
  <c r="R2" i="30"/>
  <c r="O9" i="30"/>
  <c r="J50" i="3"/>
  <c r="G30" i="30"/>
  <c r="M10" i="9"/>
  <c r="I18" i="5"/>
  <c r="H7" i="5"/>
  <c r="H20" i="5"/>
  <c r="H25" i="5"/>
  <c r="I21" i="5"/>
  <c r="I23" i="5"/>
  <c r="H13" i="5"/>
  <c r="I11" i="5"/>
  <c r="H15" i="5"/>
  <c r="H9" i="5"/>
  <c r="H19" i="5"/>
  <c r="H24" i="5"/>
  <c r="H16" i="5"/>
  <c r="D18" i="3"/>
  <c r="I30" i="30"/>
  <c r="Q178" i="9"/>
  <c r="D6" i="12" s="1"/>
  <c r="E178" i="9"/>
  <c r="D30" i="12" s="1"/>
  <c r="H10" i="5"/>
  <c r="E179" i="9"/>
  <c r="D31" i="12" s="1"/>
  <c r="Q179" i="9"/>
  <c r="D7" i="12" s="1"/>
  <c r="I17" i="5"/>
  <c r="H27" i="5"/>
  <c r="H8" i="5"/>
  <c r="H14" i="9"/>
  <c r="M9" i="9"/>
  <c r="I14" i="5"/>
  <c r="H26" i="5"/>
  <c r="H22" i="5"/>
  <c r="H12" i="5"/>
  <c r="S12" i="7"/>
  <c r="G47" i="7"/>
  <c r="P47" i="7" s="1"/>
  <c r="S48" i="7" s="1"/>
  <c r="G48" i="7"/>
  <c r="P48" i="7" s="1"/>
  <c r="G46" i="7"/>
  <c r="G44" i="7"/>
  <c r="P44" i="7" s="1"/>
  <c r="V7" i="7"/>
  <c r="V11" i="7"/>
  <c r="G45" i="7"/>
  <c r="S11" i="7"/>
  <c r="M11" i="7"/>
  <c r="P11" i="7" s="1"/>
  <c r="M12" i="7"/>
  <c r="P12" i="7" s="1"/>
  <c r="M10" i="7"/>
  <c r="P10" i="7" s="1"/>
  <c r="S10" i="7"/>
  <c r="R9" i="30" l="1"/>
  <c r="M15" i="30" s="1"/>
  <c r="M16" i="30" s="1"/>
  <c r="J14" i="5"/>
  <c r="J11" i="5"/>
  <c r="I13" i="5"/>
  <c r="M29" i="9"/>
  <c r="E177" i="9"/>
  <c r="Q177" i="9"/>
  <c r="I16" i="5"/>
  <c r="J23" i="5"/>
  <c r="J21" i="5"/>
  <c r="J17" i="5"/>
  <c r="B3" i="29"/>
  <c r="B3" i="27"/>
  <c r="B18" i="3"/>
  <c r="M3" i="28" s="1"/>
  <c r="A18" i="3"/>
  <c r="I24" i="5"/>
  <c r="I25" i="5"/>
  <c r="I19" i="5"/>
  <c r="I20" i="5"/>
  <c r="I10" i="5"/>
  <c r="I12" i="5"/>
  <c r="I7" i="5"/>
  <c r="S13" i="7"/>
  <c r="S14" i="7" s="1"/>
  <c r="I8" i="5"/>
  <c r="I9" i="5"/>
  <c r="I22" i="5"/>
  <c r="I26" i="5"/>
  <c r="I27" i="5"/>
  <c r="I15" i="5"/>
  <c r="J18" i="5"/>
  <c r="V14" i="7"/>
  <c r="J45" i="7"/>
  <c r="M45" i="7" s="1"/>
  <c r="P45" i="7"/>
  <c r="V10" i="7"/>
  <c r="V8" i="7"/>
  <c r="V12" i="7"/>
  <c r="V13" i="7"/>
  <c r="V9" i="7"/>
  <c r="S45" i="7"/>
  <c r="S49" i="7"/>
  <c r="P46" i="7"/>
  <c r="J46" i="7"/>
  <c r="M46" i="7" s="1"/>
  <c r="P23" i="30" l="1"/>
  <c r="M19" i="30"/>
  <c r="P17" i="30"/>
  <c r="W11" i="7"/>
  <c r="X11" i="7" s="1"/>
  <c r="J9" i="5"/>
  <c r="J27" i="5"/>
  <c r="J26" i="5"/>
  <c r="J7" i="5"/>
  <c r="J25" i="5"/>
  <c r="K21" i="5"/>
  <c r="J10" i="5"/>
  <c r="K23" i="5"/>
  <c r="J16" i="5"/>
  <c r="J20" i="5"/>
  <c r="D5" i="12"/>
  <c r="D29" i="12"/>
  <c r="J24" i="5"/>
  <c r="N177" i="9"/>
  <c r="B177" i="9"/>
  <c r="J19" i="5"/>
  <c r="K18" i="5"/>
  <c r="J22" i="5"/>
  <c r="J12" i="5"/>
  <c r="F18" i="3"/>
  <c r="M4" i="28"/>
  <c r="J13" i="5"/>
  <c r="K11" i="5"/>
  <c r="J8" i="5"/>
  <c r="K14" i="5"/>
  <c r="J15" i="5"/>
  <c r="W7" i="7"/>
  <c r="X7" i="7" s="1"/>
  <c r="K17" i="5"/>
  <c r="W9" i="7"/>
  <c r="X9" i="7" s="1"/>
  <c r="W13" i="7"/>
  <c r="X13" i="7" s="1"/>
  <c r="C18" i="7"/>
  <c r="W8" i="7"/>
  <c r="X8" i="7" s="1"/>
  <c r="S51" i="7"/>
  <c r="S47" i="7"/>
  <c r="W10" i="7"/>
  <c r="X10" i="7" s="1"/>
  <c r="P49" i="7"/>
  <c r="S46" i="7"/>
  <c r="S50" i="7"/>
  <c r="W12" i="7"/>
  <c r="X12" i="7" s="1"/>
  <c r="W14" i="7"/>
  <c r="X14" i="7" s="1"/>
  <c r="M23" i="30" l="1"/>
  <c r="Q32" i="30"/>
  <c r="P19" i="30"/>
  <c r="P32" i="30"/>
  <c r="M21" i="30"/>
  <c r="P22" i="30"/>
  <c r="P18" i="30"/>
  <c r="P21" i="30"/>
  <c r="R32" i="30"/>
  <c r="P20" i="30"/>
  <c r="M22" i="30"/>
  <c r="R38" i="30"/>
  <c r="P38" i="30"/>
  <c r="Q38" i="30"/>
  <c r="K19" i="5"/>
  <c r="M54" i="5" s="1"/>
  <c r="K10" i="5"/>
  <c r="K25" i="5"/>
  <c r="M53" i="5"/>
  <c r="K13" i="5"/>
  <c r="M41" i="5"/>
  <c r="K7" i="5"/>
  <c r="K15" i="5"/>
  <c r="C41" i="5" s="1"/>
  <c r="K8" i="5"/>
  <c r="K24" i="5"/>
  <c r="K26" i="5"/>
  <c r="K27" i="5"/>
  <c r="K16" i="5"/>
  <c r="K12" i="5"/>
  <c r="C38" i="5" s="1"/>
  <c r="K7" i="22"/>
  <c r="K7" i="19"/>
  <c r="K7" i="11"/>
  <c r="K7" i="20"/>
  <c r="K7" i="15"/>
  <c r="C44" i="5"/>
  <c r="K20" i="5"/>
  <c r="K22" i="5"/>
  <c r="K9" i="5"/>
  <c r="C21" i="7"/>
  <c r="C148" i="7" s="1"/>
  <c r="C19" i="7"/>
  <c r="C146" i="7" s="1"/>
  <c r="X15" i="7"/>
  <c r="C20" i="7"/>
  <c r="C147" i="7" s="1"/>
  <c r="P50" i="7"/>
  <c r="T49" i="7" s="1"/>
  <c r="U49" i="7" s="1"/>
  <c r="S58" i="7"/>
  <c r="S52" i="7"/>
  <c r="C145" i="7"/>
  <c r="R35" i="30" l="1"/>
  <c r="R52" i="30" s="1"/>
  <c r="P35" i="30"/>
  <c r="P52" i="30" s="1"/>
  <c r="Q35" i="30"/>
  <c r="Q52" i="30" s="1"/>
  <c r="R36" i="30"/>
  <c r="P36" i="30"/>
  <c r="Q36" i="30"/>
  <c r="P33" i="30"/>
  <c r="Q33" i="30"/>
  <c r="R33" i="30"/>
  <c r="P37" i="30"/>
  <c r="R37" i="30"/>
  <c r="Q37" i="30"/>
  <c r="P34" i="30"/>
  <c r="Q34" i="30"/>
  <c r="R34" i="30"/>
  <c r="N49" i="5"/>
  <c r="I76" i="5" s="1"/>
  <c r="M55" i="5"/>
  <c r="N39" i="5"/>
  <c r="I66" i="5" s="1"/>
  <c r="M44" i="5"/>
  <c r="M37" i="5"/>
  <c r="N55" i="5"/>
  <c r="I82" i="5" s="1"/>
  <c r="C45" i="5"/>
  <c r="N46" i="5"/>
  <c r="I73" i="5" s="1"/>
  <c r="M52" i="5"/>
  <c r="M50" i="5"/>
  <c r="M48" i="5"/>
  <c r="N45" i="5"/>
  <c r="I72" i="5" s="1"/>
  <c r="M38" i="5"/>
  <c r="T45" i="7"/>
  <c r="T51" i="7"/>
  <c r="U51" i="7" s="1"/>
  <c r="N37" i="5"/>
  <c r="I64" i="5" s="1"/>
  <c r="C36" i="5"/>
  <c r="N44" i="5"/>
  <c r="I71" i="5" s="1"/>
  <c r="C43" i="5"/>
  <c r="N50" i="5"/>
  <c r="I77" i="5" s="1"/>
  <c r="C49" i="5"/>
  <c r="C48" i="5"/>
  <c r="N52" i="5"/>
  <c r="I79" i="5" s="1"/>
  <c r="C51" i="5"/>
  <c r="N53" i="5"/>
  <c r="I80" i="5" s="1"/>
  <c r="C52" i="5"/>
  <c r="N38" i="5"/>
  <c r="I65" i="5" s="1"/>
  <c r="C37" i="5"/>
  <c r="N36" i="5"/>
  <c r="I63" i="5" s="1"/>
  <c r="C35" i="5"/>
  <c r="G39" i="5"/>
  <c r="G55" i="5"/>
  <c r="N47" i="5"/>
  <c r="I74" i="5" s="1"/>
  <c r="G46" i="5"/>
  <c r="G53" i="5"/>
  <c r="G37" i="5"/>
  <c r="G42" i="5"/>
  <c r="G49" i="5"/>
  <c r="G40" i="5"/>
  <c r="G47" i="5"/>
  <c r="G54" i="5"/>
  <c r="G38" i="5"/>
  <c r="G52" i="5"/>
  <c r="G36" i="5"/>
  <c r="G41" i="5"/>
  <c r="G51" i="5"/>
  <c r="G50" i="5"/>
  <c r="G45" i="5"/>
  <c r="G35" i="5"/>
  <c r="G44" i="5"/>
  <c r="G48" i="5"/>
  <c r="G43" i="5"/>
  <c r="C46" i="5"/>
  <c r="H45" i="5"/>
  <c r="H42" i="5"/>
  <c r="H49" i="5"/>
  <c r="H51" i="5"/>
  <c r="H39" i="5"/>
  <c r="H46" i="5"/>
  <c r="H55" i="5"/>
  <c r="H53" i="5"/>
  <c r="H41" i="5"/>
  <c r="I45" i="5"/>
  <c r="H37" i="5"/>
  <c r="H50" i="5"/>
  <c r="H47" i="5"/>
  <c r="H48" i="5"/>
  <c r="I42" i="5"/>
  <c r="H38" i="5"/>
  <c r="I49" i="5"/>
  <c r="I46" i="5"/>
  <c r="H54" i="5"/>
  <c r="H44" i="5"/>
  <c r="H52" i="5"/>
  <c r="H40" i="5"/>
  <c r="H35" i="5"/>
  <c r="I51" i="5"/>
  <c r="H36" i="5"/>
  <c r="I39" i="5"/>
  <c r="H43" i="5"/>
  <c r="I54" i="5"/>
  <c r="J45" i="5"/>
  <c r="I47" i="5"/>
  <c r="I55" i="5"/>
  <c r="I52" i="5"/>
  <c r="I36" i="5"/>
  <c r="J42" i="5"/>
  <c r="I44" i="5"/>
  <c r="I38" i="5"/>
  <c r="I37" i="5"/>
  <c r="J39" i="5"/>
  <c r="I41" i="5"/>
  <c r="I43" i="5"/>
  <c r="I53" i="5"/>
  <c r="J51" i="5"/>
  <c r="I35" i="5"/>
  <c r="J49" i="5"/>
  <c r="J46" i="5"/>
  <c r="I48" i="5"/>
  <c r="I50" i="5"/>
  <c r="I40" i="5"/>
  <c r="K46" i="5"/>
  <c r="J43" i="5"/>
  <c r="J55" i="5"/>
  <c r="J35" i="5"/>
  <c r="J50" i="5"/>
  <c r="J37" i="5"/>
  <c r="J38" i="5"/>
  <c r="J36" i="5"/>
  <c r="J48" i="5"/>
  <c r="J47" i="5"/>
  <c r="J40" i="5"/>
  <c r="J53" i="5"/>
  <c r="K45" i="5"/>
  <c r="K49" i="5"/>
  <c r="J52" i="5"/>
  <c r="K51" i="5"/>
  <c r="J44" i="5"/>
  <c r="J41" i="5"/>
  <c r="K42" i="5"/>
  <c r="K39" i="5"/>
  <c r="J54" i="5"/>
  <c r="L42" i="5"/>
  <c r="K36" i="5"/>
  <c r="K55" i="5"/>
  <c r="L46" i="5"/>
  <c r="K43" i="5"/>
  <c r="L39" i="5"/>
  <c r="K37" i="5"/>
  <c r="K47" i="5"/>
  <c r="K41" i="5"/>
  <c r="K52" i="5"/>
  <c r="K40" i="5"/>
  <c r="K50" i="5"/>
  <c r="K48" i="5"/>
  <c r="K54" i="5"/>
  <c r="K44" i="5"/>
  <c r="K38" i="5"/>
  <c r="L51" i="5"/>
  <c r="L49" i="5"/>
  <c r="K35" i="5"/>
  <c r="L45" i="5"/>
  <c r="K53" i="5"/>
  <c r="L44" i="5"/>
  <c r="L48" i="5"/>
  <c r="L37" i="5"/>
  <c r="L50" i="5"/>
  <c r="M45" i="5"/>
  <c r="L40" i="5"/>
  <c r="L55" i="5"/>
  <c r="L54" i="5"/>
  <c r="L36" i="5"/>
  <c r="M46" i="5"/>
  <c r="M39" i="5"/>
  <c r="L35" i="5"/>
  <c r="L41" i="5"/>
  <c r="L52" i="5"/>
  <c r="L43" i="5"/>
  <c r="L53" i="5"/>
  <c r="M49" i="5"/>
  <c r="L38" i="5"/>
  <c r="L47" i="5"/>
  <c r="M42" i="5"/>
  <c r="M51" i="5"/>
  <c r="N41" i="5"/>
  <c r="I68" i="5" s="1"/>
  <c r="C40" i="5"/>
  <c r="N48" i="5"/>
  <c r="I75" i="5" s="1"/>
  <c r="C47" i="5"/>
  <c r="T50" i="7"/>
  <c r="U50" i="7" s="1"/>
  <c r="T47" i="7"/>
  <c r="U47" i="7" s="1"/>
  <c r="C57" i="7" s="1"/>
  <c r="D147" i="7" s="1"/>
  <c r="K7" i="14"/>
  <c r="M36" i="5"/>
  <c r="M47" i="5"/>
  <c r="M43" i="5"/>
  <c r="N42" i="5"/>
  <c r="I69" i="5" s="1"/>
  <c r="N54" i="5"/>
  <c r="I81" i="5" s="1"/>
  <c r="C53" i="5"/>
  <c r="N43" i="5"/>
  <c r="I70" i="5" s="1"/>
  <c r="C42" i="5"/>
  <c r="N40" i="5"/>
  <c r="I67" i="5" s="1"/>
  <c r="C39" i="5"/>
  <c r="B19" i="8" a="1"/>
  <c r="N35" i="5"/>
  <c r="I62" i="5" s="1"/>
  <c r="C34" i="5"/>
  <c r="C50" i="5"/>
  <c r="T46" i="7"/>
  <c r="U46" i="7" s="1"/>
  <c r="C56" i="7" s="1"/>
  <c r="D146" i="7" s="1"/>
  <c r="M40" i="5"/>
  <c r="M35" i="5"/>
  <c r="N51" i="5"/>
  <c r="I78" i="5" s="1"/>
  <c r="T48" i="7"/>
  <c r="U48" i="7" s="1"/>
  <c r="C58" i="7" s="1"/>
  <c r="D148" i="7" s="1"/>
  <c r="U45" i="7"/>
  <c r="C165" i="7"/>
  <c r="C38" i="7"/>
  <c r="R28" i="8" l="1"/>
  <c r="H27" i="8"/>
  <c r="M26" i="8"/>
  <c r="S25" i="8"/>
  <c r="Q28" i="8"/>
  <c r="Q42" i="8" s="1"/>
  <c r="R14" i="10" s="1"/>
  <c r="R17" i="10" s="1"/>
  <c r="G27" i="8"/>
  <c r="G41" i="8" s="1"/>
  <c r="H13" i="10" s="1"/>
  <c r="H18" i="10" s="1"/>
  <c r="L26" i="8"/>
  <c r="L40" i="8" s="1"/>
  <c r="M12" i="10" s="1"/>
  <c r="R25" i="8"/>
  <c r="R39" i="8" s="1"/>
  <c r="H24" i="8"/>
  <c r="O28" i="8"/>
  <c r="O42" i="8" s="1"/>
  <c r="P14" i="10" s="1"/>
  <c r="U27" i="8"/>
  <c r="J26" i="8"/>
  <c r="P25" i="8"/>
  <c r="P39" i="8" s="1"/>
  <c r="V24" i="8"/>
  <c r="N28" i="8"/>
  <c r="T27" i="8"/>
  <c r="I26" i="8"/>
  <c r="O25" i="8"/>
  <c r="U24" i="8"/>
  <c r="L28" i="8"/>
  <c r="R27" i="8"/>
  <c r="G26" i="8"/>
  <c r="G40" i="8" s="1"/>
  <c r="H12" i="10" s="1"/>
  <c r="H19" i="10" s="1"/>
  <c r="M25" i="8"/>
  <c r="S24" i="8"/>
  <c r="V28" i="8"/>
  <c r="F28" i="8"/>
  <c r="L27" i="8"/>
  <c r="Q26" i="8"/>
  <c r="Q40" i="8" s="1"/>
  <c r="R12" i="10" s="1"/>
  <c r="R19" i="10" s="1"/>
  <c r="G25" i="8"/>
  <c r="M24" i="8"/>
  <c r="M38" i="8" s="1"/>
  <c r="R23" i="8"/>
  <c r="R37" i="8" s="1"/>
  <c r="S9" i="10" s="1"/>
  <c r="S22" i="10" s="1"/>
  <c r="V26" i="8"/>
  <c r="U25" i="8"/>
  <c r="R24" i="8"/>
  <c r="U23" i="8"/>
  <c r="J22" i="8"/>
  <c r="P21" i="8"/>
  <c r="F20" i="8"/>
  <c r="V27" i="8"/>
  <c r="U26" i="8"/>
  <c r="T25" i="8"/>
  <c r="T39" i="8" s="1"/>
  <c r="Q24" i="8"/>
  <c r="Q38" i="8" s="1"/>
  <c r="T23" i="8"/>
  <c r="T37" i="8" s="1"/>
  <c r="U9" i="10" s="1"/>
  <c r="I22" i="8"/>
  <c r="I36" i="8" s="1"/>
  <c r="O21" i="8"/>
  <c r="U20" i="8"/>
  <c r="U34" i="8" s="1"/>
  <c r="S27" i="8"/>
  <c r="T26" i="8"/>
  <c r="Q25" i="8"/>
  <c r="P24" i="8"/>
  <c r="S23" i="8"/>
  <c r="H22" i="8"/>
  <c r="N21" i="8"/>
  <c r="T20" i="8"/>
  <c r="U28" i="8"/>
  <c r="Q27" i="8"/>
  <c r="S26" i="8"/>
  <c r="N25" i="8"/>
  <c r="N39" i="8" s="1"/>
  <c r="O24" i="8"/>
  <c r="O38" i="8" s="1"/>
  <c r="Q23" i="8"/>
  <c r="G22" i="8"/>
  <c r="G36" i="8" s="1"/>
  <c r="M21" i="8"/>
  <c r="S20" i="8"/>
  <c r="S34" i="8" s="1"/>
  <c r="T28" i="8"/>
  <c r="P27" i="8"/>
  <c r="R26" i="8"/>
  <c r="L25" i="8"/>
  <c r="N24" i="8"/>
  <c r="P23" i="8"/>
  <c r="V22" i="8"/>
  <c r="F22" i="8"/>
  <c r="L21" i="8"/>
  <c r="R20" i="8"/>
  <c r="S28" i="8"/>
  <c r="O27" i="8"/>
  <c r="O41" i="8" s="1"/>
  <c r="P13" i="10" s="1"/>
  <c r="P18" i="10" s="1"/>
  <c r="P26" i="8"/>
  <c r="P40" i="8" s="1"/>
  <c r="Q12" i="10" s="1"/>
  <c r="Q19" i="10" s="1"/>
  <c r="K25" i="8"/>
  <c r="K39" i="8" s="1"/>
  <c r="L24" i="8"/>
  <c r="L38" i="8" s="1"/>
  <c r="O23" i="8"/>
  <c r="O37" i="8" s="1"/>
  <c r="P9" i="10" s="1"/>
  <c r="P22" i="10" s="1"/>
  <c r="U22" i="8"/>
  <c r="K21" i="8"/>
  <c r="Q20" i="8"/>
  <c r="P28" i="8"/>
  <c r="N27" i="8"/>
  <c r="O26" i="8"/>
  <c r="J25" i="8"/>
  <c r="K24" i="8"/>
  <c r="N23" i="8"/>
  <c r="T22" i="8"/>
  <c r="J21" i="8"/>
  <c r="J35" i="8" s="1"/>
  <c r="P20" i="8"/>
  <c r="P34" i="8" s="1"/>
  <c r="B19" i="8"/>
  <c r="W19" i="8" s="1"/>
  <c r="M28" i="8"/>
  <c r="M27" i="8"/>
  <c r="M41" i="8" s="1"/>
  <c r="N13" i="10" s="1"/>
  <c r="N18" i="10" s="1"/>
  <c r="N26" i="8"/>
  <c r="N40" i="8" s="1"/>
  <c r="O12" i="10" s="1"/>
  <c r="O19" i="10" s="1"/>
  <c r="I25" i="8"/>
  <c r="J24" i="8"/>
  <c r="M23" i="8"/>
  <c r="S22" i="8"/>
  <c r="I21" i="8"/>
  <c r="O20" i="8"/>
  <c r="K28" i="8"/>
  <c r="K42" i="8" s="1"/>
  <c r="L14" i="10" s="1"/>
  <c r="L17" i="10" s="1"/>
  <c r="K27" i="8"/>
  <c r="K26" i="8"/>
  <c r="H25" i="8"/>
  <c r="I24" i="8"/>
  <c r="I38" i="8" s="1"/>
  <c r="L23" i="8"/>
  <c r="L37" i="8" s="1"/>
  <c r="M9" i="10" s="1"/>
  <c r="M22" i="10" s="1"/>
  <c r="R22" i="8"/>
  <c r="R36" i="8" s="1"/>
  <c r="H21" i="8"/>
  <c r="H35" i="8" s="1"/>
  <c r="N20" i="8"/>
  <c r="N34" i="8" s="1"/>
  <c r="J28" i="8"/>
  <c r="J42" i="8" s="1"/>
  <c r="K14" i="10" s="1"/>
  <c r="K17" i="10" s="1"/>
  <c r="J27" i="8"/>
  <c r="H26" i="8"/>
  <c r="H40" i="8" s="1"/>
  <c r="I12" i="10" s="1"/>
  <c r="I19" i="10" s="1"/>
  <c r="F25" i="8"/>
  <c r="G24" i="8"/>
  <c r="K23" i="8"/>
  <c r="Q22" i="8"/>
  <c r="G21" i="8"/>
  <c r="M20" i="8"/>
  <c r="I28" i="8"/>
  <c r="I27" i="8"/>
  <c r="F26" i="8"/>
  <c r="F24" i="8"/>
  <c r="J23" i="8"/>
  <c r="J37" i="8" s="1"/>
  <c r="K9" i="10" s="1"/>
  <c r="K22" i="10" s="1"/>
  <c r="P22" i="8"/>
  <c r="F21" i="8"/>
  <c r="L20" i="8"/>
  <c r="H28" i="8"/>
  <c r="F27" i="8"/>
  <c r="I23" i="8"/>
  <c r="O22" i="8"/>
  <c r="U21" i="8"/>
  <c r="U35" i="8" s="1"/>
  <c r="K20" i="8"/>
  <c r="G28" i="8"/>
  <c r="H23" i="8"/>
  <c r="H37" i="8" s="1"/>
  <c r="I9" i="10" s="1"/>
  <c r="N22" i="8"/>
  <c r="N36" i="8" s="1"/>
  <c r="T21" i="8"/>
  <c r="T35" i="8" s="1"/>
  <c r="J20" i="8"/>
  <c r="J34" i="8" s="1"/>
  <c r="G23" i="8"/>
  <c r="M22" i="8"/>
  <c r="S21" i="8"/>
  <c r="I20" i="8"/>
  <c r="F23" i="8"/>
  <c r="L22" i="8"/>
  <c r="R21" i="8"/>
  <c r="H20" i="8"/>
  <c r="V25" i="8"/>
  <c r="T24" i="8"/>
  <c r="T38" i="8" s="1"/>
  <c r="V23" i="8"/>
  <c r="K22" i="8"/>
  <c r="Q21" i="8"/>
  <c r="Q35" i="8" s="1"/>
  <c r="G20" i="8"/>
  <c r="G34" i="8" s="1"/>
  <c r="C79" i="5" a="1"/>
  <c r="C79" i="5" s="1"/>
  <c r="C65" i="5" a="1"/>
  <c r="C65" i="5" s="1"/>
  <c r="C81" i="5" a="1"/>
  <c r="C81" i="5" s="1"/>
  <c r="C74" i="5" a="1"/>
  <c r="C74" i="5" s="1"/>
  <c r="C67" i="5" a="1"/>
  <c r="C67" i="5" s="1"/>
  <c r="C76" i="5" a="1"/>
  <c r="C76" i="5" s="1"/>
  <c r="C69" i="5" a="1"/>
  <c r="C69" i="5" s="1"/>
  <c r="C70" i="5" a="1"/>
  <c r="C70" i="5" s="1"/>
  <c r="C64" i="5" a="1"/>
  <c r="C64" i="5" s="1"/>
  <c r="C75" i="5" a="1"/>
  <c r="C75" i="5" s="1"/>
  <c r="C80" i="5" a="1"/>
  <c r="C80" i="5" s="1"/>
  <c r="C71" i="5" a="1"/>
  <c r="C71" i="5" s="1"/>
  <c r="C73" i="5" a="1"/>
  <c r="C73" i="5" s="1"/>
  <c r="C62" i="5" a="1"/>
  <c r="C62" i="5" s="1"/>
  <c r="C72" i="5" a="1"/>
  <c r="C72" i="5" s="1"/>
  <c r="C82" i="5" a="1"/>
  <c r="C82" i="5" s="1"/>
  <c r="C77" i="5" a="1"/>
  <c r="C77" i="5" s="1"/>
  <c r="C66" i="5" a="1"/>
  <c r="C66" i="5" s="1"/>
  <c r="C78" i="5" a="1"/>
  <c r="C78" i="5" s="1"/>
  <c r="T58" i="7"/>
  <c r="B33" i="8" a="1"/>
  <c r="C54" i="5"/>
  <c r="C68" i="5" a="1"/>
  <c r="C68" i="5" s="1"/>
  <c r="C63" i="5" a="1"/>
  <c r="C63" i="5" s="1"/>
  <c r="C55" i="7"/>
  <c r="U58" i="7"/>
  <c r="U52" i="7"/>
  <c r="T40" i="8" l="1"/>
  <c r="U12" i="10" s="1"/>
  <c r="U19" i="10" s="1"/>
  <c r="N42" i="8"/>
  <c r="O14" i="10" s="1"/>
  <c r="J41" i="8"/>
  <c r="K13" i="10" s="1"/>
  <c r="K18" i="10" s="1"/>
  <c r="T42" i="8"/>
  <c r="U14" i="10" s="1"/>
  <c r="U17" i="10" s="1"/>
  <c r="L34" i="8"/>
  <c r="G37" i="8"/>
  <c r="H9" i="10" s="1"/>
  <c r="K40" i="8"/>
  <c r="L12" i="10" s="1"/>
  <c r="L19" i="10" s="1"/>
  <c r="L36" i="8"/>
  <c r="I39" i="8"/>
  <c r="U36" i="8"/>
  <c r="T41" i="8"/>
  <c r="U13" i="10" s="1"/>
  <c r="B113" i="9" s="1"/>
  <c r="C113" i="9" s="1"/>
  <c r="M35" i="8"/>
  <c r="P36" i="8"/>
  <c r="O35" i="8"/>
  <c r="Q41" i="8"/>
  <c r="R13" i="10" s="1"/>
  <c r="R18" i="10" s="1"/>
  <c r="S35" i="8"/>
  <c r="G39" i="8"/>
  <c r="U41" i="8"/>
  <c r="V13" i="10" s="1"/>
  <c r="V18" i="10" s="1"/>
  <c r="H42" i="8"/>
  <c r="I14" i="10" s="1"/>
  <c r="I17" i="10" s="1"/>
  <c r="S41" i="8"/>
  <c r="T13" i="10" s="1"/>
  <c r="T18" i="10" s="1"/>
  <c r="M42" i="8"/>
  <c r="N14" i="10" s="1"/>
  <c r="L41" i="8"/>
  <c r="M13" i="10" s="1"/>
  <c r="M18" i="10" s="1"/>
  <c r="L35" i="8"/>
  <c r="M34" i="8"/>
  <c r="K41" i="8"/>
  <c r="L13" i="10" s="1"/>
  <c r="K38" i="8"/>
  <c r="U42" i="8"/>
  <c r="V14" i="10" s="1"/>
  <c r="V17" i="10" s="1"/>
  <c r="J39" i="8"/>
  <c r="T34" i="8"/>
  <c r="G38" i="8"/>
  <c r="S36" i="8"/>
  <c r="P42" i="8"/>
  <c r="Q14" i="10" s="1"/>
  <c r="Q17" i="10" s="1"/>
  <c r="I24" i="15"/>
  <c r="L24" i="15" s="1"/>
  <c r="V25" i="15" s="1"/>
  <c r="G24" i="15"/>
  <c r="J24" i="15" s="1"/>
  <c r="T25" i="15" s="1"/>
  <c r="U25" i="15" s="1"/>
  <c r="G24" i="11"/>
  <c r="J24" i="11" s="1"/>
  <c r="T25" i="11" s="1"/>
  <c r="E24" i="11"/>
  <c r="H24" i="11" s="1"/>
  <c r="R25" i="11" s="1"/>
  <c r="S25" i="11" s="1"/>
  <c r="H75" i="5"/>
  <c r="J75" i="5" s="1"/>
  <c r="E24" i="14"/>
  <c r="H24" i="14" s="1"/>
  <c r="R25" i="14" s="1"/>
  <c r="S25" i="14" s="1"/>
  <c r="G24" i="20"/>
  <c r="J24" i="20" s="1"/>
  <c r="T25" i="20" s="1"/>
  <c r="U25" i="20" s="1"/>
  <c r="G24" i="22"/>
  <c r="J24" i="22" s="1"/>
  <c r="T25" i="22" s="1"/>
  <c r="U25" i="22" s="1"/>
  <c r="G24" i="19"/>
  <c r="J24" i="19" s="1"/>
  <c r="T25" i="19" s="1"/>
  <c r="U25" i="19" s="1"/>
  <c r="H24" i="19"/>
  <c r="K24" i="19" s="1"/>
  <c r="I24" i="20"/>
  <c r="L24" i="20" s="1"/>
  <c r="V25" i="20" s="1"/>
  <c r="I24" i="22"/>
  <c r="L24" i="22" s="1"/>
  <c r="V25" i="22" s="1"/>
  <c r="I24" i="19"/>
  <c r="L24" i="19" s="1"/>
  <c r="V25" i="19" s="1"/>
  <c r="F24" i="11"/>
  <c r="I24" i="11" s="1"/>
  <c r="B20" i="23" s="1"/>
  <c r="F24" i="14"/>
  <c r="I24" i="14" s="1"/>
  <c r="Q20" i="23" s="1"/>
  <c r="H24" i="15"/>
  <c r="K24" i="15" s="1"/>
  <c r="G24" i="14"/>
  <c r="J24" i="14" s="1"/>
  <c r="T25" i="14" s="1"/>
  <c r="H24" i="22"/>
  <c r="K24" i="22" s="1"/>
  <c r="H24" i="20"/>
  <c r="K24" i="20" s="1"/>
  <c r="I14" i="15"/>
  <c r="L14" i="15" s="1"/>
  <c r="V15" i="15" s="1"/>
  <c r="G14" i="15"/>
  <c r="J14" i="15" s="1"/>
  <c r="T15" i="15" s="1"/>
  <c r="U15" i="15" s="1"/>
  <c r="G14" i="19"/>
  <c r="J14" i="19" s="1"/>
  <c r="T15" i="19" s="1"/>
  <c r="U15" i="19" s="1"/>
  <c r="G14" i="11"/>
  <c r="J14" i="11" s="1"/>
  <c r="T15" i="11" s="1"/>
  <c r="E14" i="11"/>
  <c r="H14" i="11" s="1"/>
  <c r="R15" i="11" s="1"/>
  <c r="S15" i="11" s="1"/>
  <c r="H65" i="5"/>
  <c r="J65" i="5" s="1"/>
  <c r="G14" i="20"/>
  <c r="J14" i="20" s="1"/>
  <c r="T15" i="20" s="1"/>
  <c r="U15" i="20" s="1"/>
  <c r="G14" i="22"/>
  <c r="J14" i="22" s="1"/>
  <c r="T15" i="22" s="1"/>
  <c r="U15" i="22" s="1"/>
  <c r="E14" i="14"/>
  <c r="H14" i="14" s="1"/>
  <c r="R15" i="14" s="1"/>
  <c r="S15" i="14" s="1"/>
  <c r="H14" i="19"/>
  <c r="K14" i="19" s="1"/>
  <c r="I14" i="22"/>
  <c r="L14" i="22" s="1"/>
  <c r="V15" i="22" s="1"/>
  <c r="F14" i="14"/>
  <c r="I14" i="14" s="1"/>
  <c r="Q10" i="23" s="1"/>
  <c r="H14" i="22"/>
  <c r="K14" i="22" s="1"/>
  <c r="I14" i="19"/>
  <c r="L14" i="19" s="1"/>
  <c r="V15" i="19" s="1"/>
  <c r="H14" i="20"/>
  <c r="K14" i="20" s="1"/>
  <c r="H14" i="15"/>
  <c r="K14" i="15" s="1"/>
  <c r="G14" i="14"/>
  <c r="J14" i="14" s="1"/>
  <c r="T15" i="14" s="1"/>
  <c r="I14" i="20"/>
  <c r="L14" i="20" s="1"/>
  <c r="V15" i="20" s="1"/>
  <c r="F14" i="11"/>
  <c r="I14" i="11" s="1"/>
  <c r="B10" i="23" s="1"/>
  <c r="M8" i="10"/>
  <c r="M23" i="10" s="1"/>
  <c r="L51" i="8"/>
  <c r="J11" i="10"/>
  <c r="V8" i="10"/>
  <c r="V23" i="10" s="1"/>
  <c r="U18" i="10"/>
  <c r="C44" i="8"/>
  <c r="B33" i="8"/>
  <c r="D44" i="8"/>
  <c r="G13" i="11"/>
  <c r="J13" i="11" s="1"/>
  <c r="T14" i="11" s="1"/>
  <c r="E13" i="11"/>
  <c r="H13" i="11" s="1"/>
  <c r="R14" i="11" s="1"/>
  <c r="S14" i="11" s="1"/>
  <c r="I13" i="15"/>
  <c r="L13" i="15" s="1"/>
  <c r="V14" i="15" s="1"/>
  <c r="G13" i="15"/>
  <c r="J13" i="15" s="1"/>
  <c r="T14" i="15" s="1"/>
  <c r="U14" i="15" s="1"/>
  <c r="G13" i="19"/>
  <c r="J13" i="19" s="1"/>
  <c r="T14" i="19" s="1"/>
  <c r="U14" i="19" s="1"/>
  <c r="H64" i="5"/>
  <c r="J64" i="5" s="1"/>
  <c r="E13" i="14"/>
  <c r="H13" i="14" s="1"/>
  <c r="R14" i="14" s="1"/>
  <c r="S14" i="14" s="1"/>
  <c r="G13" i="20"/>
  <c r="J13" i="20" s="1"/>
  <c r="T14" i="20" s="1"/>
  <c r="U14" i="20" s="1"/>
  <c r="G13" i="22"/>
  <c r="J13" i="22" s="1"/>
  <c r="T14" i="22" s="1"/>
  <c r="U14" i="22" s="1"/>
  <c r="H13" i="15"/>
  <c r="K13" i="15" s="1"/>
  <c r="F13" i="14"/>
  <c r="I13" i="14" s="1"/>
  <c r="Q9" i="23" s="1"/>
  <c r="I13" i="22"/>
  <c r="L13" i="22" s="1"/>
  <c r="V14" i="22" s="1"/>
  <c r="G13" i="14"/>
  <c r="J13" i="14" s="1"/>
  <c r="T14" i="14" s="1"/>
  <c r="I13" i="19"/>
  <c r="L13" i="19" s="1"/>
  <c r="V14" i="19" s="1"/>
  <c r="H13" i="22"/>
  <c r="K13" i="22" s="1"/>
  <c r="I13" i="20"/>
  <c r="L13" i="20" s="1"/>
  <c r="V14" i="20" s="1"/>
  <c r="H13" i="20"/>
  <c r="K13" i="20" s="1"/>
  <c r="H13" i="19"/>
  <c r="K13" i="19" s="1"/>
  <c r="F13" i="11"/>
  <c r="I13" i="11" s="1"/>
  <c r="B9" i="23" s="1"/>
  <c r="W23" i="8"/>
  <c r="F37" i="8"/>
  <c r="G9" i="10" s="1"/>
  <c r="E37" i="8"/>
  <c r="M16" i="10"/>
  <c r="L49" i="8"/>
  <c r="T16" i="10"/>
  <c r="B145" i="9" s="1"/>
  <c r="C145" i="9" s="1"/>
  <c r="S49" i="8"/>
  <c r="O17" i="10"/>
  <c r="B107" i="9"/>
  <c r="C107" i="9" s="1"/>
  <c r="I19" i="15"/>
  <c r="L19" i="15" s="1"/>
  <c r="V20" i="15" s="1"/>
  <c r="G19" i="11"/>
  <c r="J19" i="11" s="1"/>
  <c r="T20" i="11" s="1"/>
  <c r="G19" i="15"/>
  <c r="J19" i="15" s="1"/>
  <c r="T20" i="15" s="1"/>
  <c r="U20" i="15" s="1"/>
  <c r="E19" i="11"/>
  <c r="H19" i="11" s="1"/>
  <c r="R20" i="11" s="1"/>
  <c r="S20" i="11" s="1"/>
  <c r="H70" i="5"/>
  <c r="J70" i="5" s="1"/>
  <c r="E19" i="14"/>
  <c r="H19" i="14" s="1"/>
  <c r="R20" i="14" s="1"/>
  <c r="S20" i="14" s="1"/>
  <c r="G19" i="20"/>
  <c r="J19" i="20" s="1"/>
  <c r="T20" i="20" s="1"/>
  <c r="U20" i="20" s="1"/>
  <c r="G19" i="22"/>
  <c r="J19" i="22" s="1"/>
  <c r="T20" i="22" s="1"/>
  <c r="U20" i="22" s="1"/>
  <c r="G19" i="19"/>
  <c r="J19" i="19" s="1"/>
  <c r="T20" i="19" s="1"/>
  <c r="U20" i="19" s="1"/>
  <c r="I19" i="19"/>
  <c r="L19" i="19" s="1"/>
  <c r="V20" i="19" s="1"/>
  <c r="F19" i="11"/>
  <c r="I19" i="11" s="1"/>
  <c r="B15" i="23" s="1"/>
  <c r="G19" i="14"/>
  <c r="J19" i="14" s="1"/>
  <c r="T20" i="14" s="1"/>
  <c r="F19" i="14"/>
  <c r="I19" i="14" s="1"/>
  <c r="Q15" i="23" s="1"/>
  <c r="H19" i="20"/>
  <c r="K19" i="20" s="1"/>
  <c r="I19" i="20"/>
  <c r="L19" i="20" s="1"/>
  <c r="V20" i="20" s="1"/>
  <c r="H19" i="19"/>
  <c r="K19" i="19" s="1"/>
  <c r="H19" i="15"/>
  <c r="K19" i="15" s="1"/>
  <c r="I19" i="22"/>
  <c r="L19" i="22" s="1"/>
  <c r="V20" i="22" s="1"/>
  <c r="H19" i="22"/>
  <c r="K19" i="22" s="1"/>
  <c r="I34" i="8"/>
  <c r="F35" i="8"/>
  <c r="E35" i="8"/>
  <c r="W21" i="8"/>
  <c r="N49" i="8"/>
  <c r="O16" i="10"/>
  <c r="L52" i="8"/>
  <c r="M10" i="10"/>
  <c r="M21" i="10" s="1"/>
  <c r="M50" i="8"/>
  <c r="N7" i="10"/>
  <c r="V16" i="10"/>
  <c r="U49" i="8"/>
  <c r="N10" i="10"/>
  <c r="N21" i="10" s="1"/>
  <c r="M52" i="8"/>
  <c r="G18" i="19"/>
  <c r="J18" i="19" s="1"/>
  <c r="T19" i="19" s="1"/>
  <c r="U19" i="19" s="1"/>
  <c r="G18" i="11"/>
  <c r="J18" i="11" s="1"/>
  <c r="T19" i="11" s="1"/>
  <c r="I18" i="15"/>
  <c r="L18" i="15" s="1"/>
  <c r="V19" i="15" s="1"/>
  <c r="E18" i="11"/>
  <c r="H18" i="11" s="1"/>
  <c r="R19" i="11" s="1"/>
  <c r="S19" i="11" s="1"/>
  <c r="G18" i="15"/>
  <c r="J18" i="15" s="1"/>
  <c r="T19" i="15" s="1"/>
  <c r="U19" i="15" s="1"/>
  <c r="H69" i="5"/>
  <c r="J69" i="5" s="1"/>
  <c r="G18" i="22"/>
  <c r="J18" i="22" s="1"/>
  <c r="T19" i="22" s="1"/>
  <c r="U19" i="22" s="1"/>
  <c r="I18" i="22"/>
  <c r="L18" i="22" s="1"/>
  <c r="V19" i="22" s="1"/>
  <c r="E18" i="14"/>
  <c r="H18" i="14" s="1"/>
  <c r="R19" i="14" s="1"/>
  <c r="S19" i="14" s="1"/>
  <c r="G18" i="14"/>
  <c r="J18" i="14" s="1"/>
  <c r="T19" i="14" s="1"/>
  <c r="G18" i="20"/>
  <c r="J18" i="20" s="1"/>
  <c r="T19" i="20" s="1"/>
  <c r="U19" i="20" s="1"/>
  <c r="I18" i="20"/>
  <c r="L18" i="20" s="1"/>
  <c r="V19" i="20" s="1"/>
  <c r="H18" i="20"/>
  <c r="K18" i="20" s="1"/>
  <c r="H18" i="22"/>
  <c r="K18" i="22" s="1"/>
  <c r="H18" i="15"/>
  <c r="K18" i="15" s="1"/>
  <c r="I18" i="19"/>
  <c r="L18" i="19" s="1"/>
  <c r="V19" i="19" s="1"/>
  <c r="F18" i="14"/>
  <c r="I18" i="14" s="1"/>
  <c r="Q14" i="23" s="1"/>
  <c r="F18" i="11"/>
  <c r="I18" i="11" s="1"/>
  <c r="B14" i="23" s="1"/>
  <c r="H18" i="19"/>
  <c r="K18" i="19" s="1"/>
  <c r="S50" i="8"/>
  <c r="T7" i="10"/>
  <c r="Q8" i="10"/>
  <c r="Q23" i="10" s="1"/>
  <c r="H50" i="8"/>
  <c r="I7" i="10"/>
  <c r="N17" i="10"/>
  <c r="B106" i="9"/>
  <c r="C106" i="9" s="1"/>
  <c r="L11" i="10"/>
  <c r="L20" i="10" s="1"/>
  <c r="K53" i="8"/>
  <c r="H8" i="10"/>
  <c r="H23" i="10" s="1"/>
  <c r="G51" i="8"/>
  <c r="P7" i="10"/>
  <c r="O50" i="8"/>
  <c r="H11" i="10"/>
  <c r="H20" i="10" s="1"/>
  <c r="Q11" i="10"/>
  <c r="Q20" i="10" s="1"/>
  <c r="I27" i="15"/>
  <c r="L27" i="15" s="1"/>
  <c r="V28" i="15" s="1"/>
  <c r="G27" i="19"/>
  <c r="J27" i="19" s="1"/>
  <c r="T28" i="19" s="1"/>
  <c r="U28" i="19" s="1"/>
  <c r="G27" i="15"/>
  <c r="J27" i="15" s="1"/>
  <c r="T28" i="15" s="1"/>
  <c r="U28" i="15" s="1"/>
  <c r="G27" i="11"/>
  <c r="J27" i="11" s="1"/>
  <c r="T28" i="11" s="1"/>
  <c r="E27" i="11"/>
  <c r="H27" i="11" s="1"/>
  <c r="R28" i="11" s="1"/>
  <c r="S28" i="11" s="1"/>
  <c r="H78" i="5"/>
  <c r="J78" i="5" s="1"/>
  <c r="G27" i="20"/>
  <c r="J27" i="20" s="1"/>
  <c r="T28" i="20" s="1"/>
  <c r="U28" i="20" s="1"/>
  <c r="E27" i="14"/>
  <c r="H27" i="14" s="1"/>
  <c r="R28" i="14" s="1"/>
  <c r="S28" i="14" s="1"/>
  <c r="H27" i="19"/>
  <c r="K27" i="19" s="1"/>
  <c r="G27" i="22"/>
  <c r="J27" i="22" s="1"/>
  <c r="T28" i="22" s="1"/>
  <c r="U28" i="22" s="1"/>
  <c r="F27" i="11"/>
  <c r="I27" i="11" s="1"/>
  <c r="B23" i="23" s="1"/>
  <c r="H27" i="22"/>
  <c r="K27" i="22" s="1"/>
  <c r="I27" i="19"/>
  <c r="L27" i="19" s="1"/>
  <c r="V28" i="19" s="1"/>
  <c r="I27" i="22"/>
  <c r="L27" i="22" s="1"/>
  <c r="V28" i="22" s="1"/>
  <c r="G27" i="14"/>
  <c r="J27" i="14" s="1"/>
  <c r="T28" i="14" s="1"/>
  <c r="H27" i="20"/>
  <c r="K27" i="20" s="1"/>
  <c r="H27" i="15"/>
  <c r="K27" i="15" s="1"/>
  <c r="F27" i="14"/>
  <c r="I27" i="14" s="1"/>
  <c r="Q23" i="23" s="1"/>
  <c r="I27" i="20"/>
  <c r="L27" i="20" s="1"/>
  <c r="V28" i="20" s="1"/>
  <c r="M36" i="8"/>
  <c r="R51" i="8"/>
  <c r="S8" i="10"/>
  <c r="S23" i="10" s="1"/>
  <c r="Q37" i="8"/>
  <c r="R9" i="10" s="1"/>
  <c r="R22" i="10" s="1"/>
  <c r="J8" i="10"/>
  <c r="J23" i="10" s="1"/>
  <c r="J40" i="8"/>
  <c r="K12" i="10" s="1"/>
  <c r="G15" i="11"/>
  <c r="J15" i="11" s="1"/>
  <c r="T16" i="11" s="1"/>
  <c r="E15" i="11"/>
  <c r="H15" i="11" s="1"/>
  <c r="R16" i="11" s="1"/>
  <c r="S16" i="11" s="1"/>
  <c r="I15" i="15"/>
  <c r="L15" i="15" s="1"/>
  <c r="V16" i="15" s="1"/>
  <c r="G15" i="15"/>
  <c r="J15" i="15" s="1"/>
  <c r="T16" i="15" s="1"/>
  <c r="U16" i="15" s="1"/>
  <c r="H66" i="5"/>
  <c r="J66" i="5" s="1"/>
  <c r="E15" i="14"/>
  <c r="H15" i="14" s="1"/>
  <c r="R16" i="14" s="1"/>
  <c r="S16" i="14" s="1"/>
  <c r="G15" i="22"/>
  <c r="J15" i="22" s="1"/>
  <c r="T16" i="22" s="1"/>
  <c r="U16" i="22" s="1"/>
  <c r="G15" i="19"/>
  <c r="J15" i="19" s="1"/>
  <c r="T16" i="19" s="1"/>
  <c r="U16" i="19" s="1"/>
  <c r="G15" i="20"/>
  <c r="J15" i="20" s="1"/>
  <c r="T16" i="20" s="1"/>
  <c r="U16" i="20" s="1"/>
  <c r="F15" i="11"/>
  <c r="I15" i="11" s="1"/>
  <c r="B11" i="23" s="1"/>
  <c r="I15" i="19"/>
  <c r="L15" i="19" s="1"/>
  <c r="V16" i="19" s="1"/>
  <c r="H15" i="15"/>
  <c r="K15" i="15" s="1"/>
  <c r="H15" i="19"/>
  <c r="K15" i="19" s="1"/>
  <c r="F15" i="14"/>
  <c r="I15" i="14" s="1"/>
  <c r="Q11" i="23" s="1"/>
  <c r="I15" i="20"/>
  <c r="L15" i="20" s="1"/>
  <c r="V16" i="20" s="1"/>
  <c r="G15" i="14"/>
  <c r="J15" i="14" s="1"/>
  <c r="T16" i="14" s="1"/>
  <c r="H15" i="22"/>
  <c r="K15" i="22" s="1"/>
  <c r="H15" i="20"/>
  <c r="K15" i="20" s="1"/>
  <c r="I15" i="22"/>
  <c r="L15" i="22" s="1"/>
  <c r="V16" i="22" s="1"/>
  <c r="H22" i="10"/>
  <c r="F38" i="8"/>
  <c r="E38" i="8"/>
  <c r="W24" i="8"/>
  <c r="Q16" i="10"/>
  <c r="P49" i="8"/>
  <c r="P10" i="10"/>
  <c r="P21" i="10" s="1"/>
  <c r="O52" i="8"/>
  <c r="U22" i="10"/>
  <c r="I26" i="15"/>
  <c r="L26" i="15" s="1"/>
  <c r="V27" i="15" s="1"/>
  <c r="G26" i="15"/>
  <c r="J26" i="15" s="1"/>
  <c r="T27" i="15" s="1"/>
  <c r="U27" i="15" s="1"/>
  <c r="G26" i="11"/>
  <c r="J26" i="11" s="1"/>
  <c r="T27" i="11" s="1"/>
  <c r="E26" i="11"/>
  <c r="H26" i="11" s="1"/>
  <c r="R27" i="11" s="1"/>
  <c r="S27" i="11" s="1"/>
  <c r="G26" i="19"/>
  <c r="J26" i="19" s="1"/>
  <c r="T27" i="19" s="1"/>
  <c r="U27" i="19" s="1"/>
  <c r="H77" i="5"/>
  <c r="J77" i="5" s="1"/>
  <c r="G26" i="20"/>
  <c r="J26" i="20" s="1"/>
  <c r="T27" i="20" s="1"/>
  <c r="U27" i="20" s="1"/>
  <c r="H26" i="19"/>
  <c r="K26" i="19" s="1"/>
  <c r="E26" i="14"/>
  <c r="H26" i="14" s="1"/>
  <c r="R27" i="14" s="1"/>
  <c r="S27" i="14" s="1"/>
  <c r="G26" i="22"/>
  <c r="J26" i="22" s="1"/>
  <c r="T27" i="22" s="1"/>
  <c r="U27" i="22" s="1"/>
  <c r="F26" i="11"/>
  <c r="I26" i="11" s="1"/>
  <c r="B22" i="23" s="1"/>
  <c r="I26" i="19"/>
  <c r="L26" i="19" s="1"/>
  <c r="V27" i="19" s="1"/>
  <c r="H26" i="20"/>
  <c r="K26" i="20" s="1"/>
  <c r="F26" i="14"/>
  <c r="I26" i="14" s="1"/>
  <c r="Q22" i="23" s="1"/>
  <c r="I26" i="22"/>
  <c r="L26" i="22" s="1"/>
  <c r="V27" i="22" s="1"/>
  <c r="H26" i="22"/>
  <c r="K26" i="22" s="1"/>
  <c r="H26" i="15"/>
  <c r="K26" i="15" s="1"/>
  <c r="G26" i="14"/>
  <c r="J26" i="14" s="1"/>
  <c r="T27" i="14" s="1"/>
  <c r="I26" i="20"/>
  <c r="L26" i="20" s="1"/>
  <c r="V27" i="20" s="1"/>
  <c r="G25" i="11"/>
  <c r="J25" i="11" s="1"/>
  <c r="T26" i="11" s="1"/>
  <c r="E25" i="11"/>
  <c r="H25" i="11" s="1"/>
  <c r="R26" i="11" s="1"/>
  <c r="S26" i="11" s="1"/>
  <c r="I25" i="15"/>
  <c r="L25" i="15" s="1"/>
  <c r="V26" i="15" s="1"/>
  <c r="G25" i="15"/>
  <c r="J25" i="15" s="1"/>
  <c r="T26" i="15" s="1"/>
  <c r="U26" i="15" s="1"/>
  <c r="H76" i="5"/>
  <c r="J76" i="5" s="1"/>
  <c r="G25" i="20"/>
  <c r="J25" i="20" s="1"/>
  <c r="T26" i="20" s="1"/>
  <c r="U26" i="20" s="1"/>
  <c r="G25" i="19"/>
  <c r="J25" i="19" s="1"/>
  <c r="T26" i="19" s="1"/>
  <c r="U26" i="19" s="1"/>
  <c r="E25" i="14"/>
  <c r="H25" i="14" s="1"/>
  <c r="R26" i="14" s="1"/>
  <c r="S26" i="14" s="1"/>
  <c r="G25" i="22"/>
  <c r="J25" i="22" s="1"/>
  <c r="T26" i="22" s="1"/>
  <c r="U26" i="22" s="1"/>
  <c r="G25" i="14"/>
  <c r="J25" i="14" s="1"/>
  <c r="T26" i="14" s="1"/>
  <c r="F25" i="14"/>
  <c r="I25" i="14" s="1"/>
  <c r="Q21" i="23" s="1"/>
  <c r="H25" i="19"/>
  <c r="K25" i="19" s="1"/>
  <c r="I25" i="20"/>
  <c r="L25" i="20" s="1"/>
  <c r="V26" i="20" s="1"/>
  <c r="H25" i="20"/>
  <c r="K25" i="20" s="1"/>
  <c r="I25" i="19"/>
  <c r="L25" i="19" s="1"/>
  <c r="V26" i="19" s="1"/>
  <c r="I25" i="22"/>
  <c r="L25" i="22" s="1"/>
  <c r="V26" i="22" s="1"/>
  <c r="F25" i="11"/>
  <c r="I25" i="11" s="1"/>
  <c r="B21" i="23" s="1"/>
  <c r="H25" i="15"/>
  <c r="K25" i="15" s="1"/>
  <c r="H25" i="22"/>
  <c r="K25" i="22" s="1"/>
  <c r="J49" i="8"/>
  <c r="K16" i="10"/>
  <c r="F40" i="8"/>
  <c r="G12" i="10" s="1"/>
  <c r="G19" i="10" s="1"/>
  <c r="E40" i="8"/>
  <c r="W26" i="8"/>
  <c r="J10" i="10"/>
  <c r="J21" i="10" s="1"/>
  <c r="I52" i="8"/>
  <c r="K7" i="10"/>
  <c r="J50" i="8"/>
  <c r="S42" i="8"/>
  <c r="T14" i="10" s="1"/>
  <c r="O11" i="10"/>
  <c r="O20" i="10" s="1"/>
  <c r="R10" i="10"/>
  <c r="Q52" i="8"/>
  <c r="F42" i="8"/>
  <c r="G14" i="10" s="1"/>
  <c r="G17" i="10" s="1"/>
  <c r="E42" i="8"/>
  <c r="W28" i="8"/>
  <c r="P17" i="10"/>
  <c r="B108" i="9"/>
  <c r="C108" i="9" s="1"/>
  <c r="G28" i="19"/>
  <c r="J28" i="19" s="1"/>
  <c r="T29" i="19" s="1"/>
  <c r="U29" i="19" s="1"/>
  <c r="G28" i="11"/>
  <c r="J28" i="11" s="1"/>
  <c r="T29" i="11" s="1"/>
  <c r="E28" i="11"/>
  <c r="H28" i="11" s="1"/>
  <c r="R29" i="11" s="1"/>
  <c r="S29" i="11" s="1"/>
  <c r="I28" i="15"/>
  <c r="L28" i="15" s="1"/>
  <c r="V29" i="15" s="1"/>
  <c r="G28" i="15"/>
  <c r="J28" i="15" s="1"/>
  <c r="T29" i="15" s="1"/>
  <c r="U29" i="15" s="1"/>
  <c r="H79" i="5"/>
  <c r="J79" i="5" s="1"/>
  <c r="H28" i="19"/>
  <c r="K28" i="19" s="1"/>
  <c r="G28" i="22"/>
  <c r="J28" i="22" s="1"/>
  <c r="T29" i="22" s="1"/>
  <c r="U29" i="22" s="1"/>
  <c r="H28" i="15"/>
  <c r="K28" i="15" s="1"/>
  <c r="G28" i="20"/>
  <c r="J28" i="20" s="1"/>
  <c r="T29" i="20" s="1"/>
  <c r="U29" i="20" s="1"/>
  <c r="E28" i="14"/>
  <c r="H28" i="14" s="1"/>
  <c r="R29" i="14" s="1"/>
  <c r="S29" i="14" s="1"/>
  <c r="I28" i="22"/>
  <c r="L28" i="22" s="1"/>
  <c r="V29" i="22" s="1"/>
  <c r="F28" i="11"/>
  <c r="I28" i="11" s="1"/>
  <c r="B24" i="23" s="1"/>
  <c r="G28" i="14"/>
  <c r="J28" i="14" s="1"/>
  <c r="T29" i="14" s="1"/>
  <c r="H28" i="20"/>
  <c r="K28" i="20" s="1"/>
  <c r="H28" i="22"/>
  <c r="K28" i="22" s="1"/>
  <c r="I28" i="20"/>
  <c r="L28" i="20" s="1"/>
  <c r="V29" i="20" s="1"/>
  <c r="F28" i="14"/>
  <c r="I28" i="14" s="1"/>
  <c r="Q24" i="23" s="1"/>
  <c r="I28" i="19"/>
  <c r="L28" i="19" s="1"/>
  <c r="V29" i="19" s="1"/>
  <c r="U7" i="10"/>
  <c r="U24" i="10" s="1"/>
  <c r="T50" i="8"/>
  <c r="I41" i="8"/>
  <c r="J13" i="10" s="1"/>
  <c r="J18" i="10" s="1"/>
  <c r="H39" i="8"/>
  <c r="T36" i="8"/>
  <c r="T43" i="8" s="1"/>
  <c r="T44" i="8" s="1"/>
  <c r="R34" i="8"/>
  <c r="S40" i="8"/>
  <c r="T12" i="10" s="1"/>
  <c r="T19" i="10" s="1"/>
  <c r="U11" i="10"/>
  <c r="U20" i="10" s="1"/>
  <c r="T53" i="8"/>
  <c r="H38" i="8"/>
  <c r="G16" i="11"/>
  <c r="J16" i="11" s="1"/>
  <c r="T17" i="11" s="1"/>
  <c r="E16" i="11"/>
  <c r="H16" i="11" s="1"/>
  <c r="R17" i="11" s="1"/>
  <c r="S17" i="11" s="1"/>
  <c r="I16" i="15"/>
  <c r="L16" i="15" s="1"/>
  <c r="V17" i="15" s="1"/>
  <c r="G16" i="15"/>
  <c r="J16" i="15" s="1"/>
  <c r="T17" i="15" s="1"/>
  <c r="U17" i="15" s="1"/>
  <c r="H67" i="5"/>
  <c r="J67" i="5" s="1"/>
  <c r="E16" i="14"/>
  <c r="H16" i="14" s="1"/>
  <c r="R17" i="14" s="1"/>
  <c r="S17" i="14" s="1"/>
  <c r="G16" i="19"/>
  <c r="J16" i="19" s="1"/>
  <c r="T17" i="19" s="1"/>
  <c r="U17" i="19" s="1"/>
  <c r="G16" i="20"/>
  <c r="J16" i="20" s="1"/>
  <c r="T17" i="20" s="1"/>
  <c r="U17" i="20" s="1"/>
  <c r="G16" i="22"/>
  <c r="J16" i="22" s="1"/>
  <c r="T17" i="22" s="1"/>
  <c r="U17" i="22" s="1"/>
  <c r="I16" i="19"/>
  <c r="L16" i="19" s="1"/>
  <c r="V17" i="19" s="1"/>
  <c r="H16" i="22"/>
  <c r="K16" i="22" s="1"/>
  <c r="I16" i="22"/>
  <c r="L16" i="22" s="1"/>
  <c r="V17" i="22" s="1"/>
  <c r="H16" i="15"/>
  <c r="K16" i="15" s="1"/>
  <c r="I16" i="20"/>
  <c r="L16" i="20" s="1"/>
  <c r="V17" i="20" s="1"/>
  <c r="H16" i="19"/>
  <c r="K16" i="19" s="1"/>
  <c r="F16" i="14"/>
  <c r="I16" i="14" s="1"/>
  <c r="Q12" i="23" s="1"/>
  <c r="F16" i="11"/>
  <c r="I16" i="11" s="1"/>
  <c r="B12" i="23" s="1"/>
  <c r="G16" i="14"/>
  <c r="J16" i="14" s="1"/>
  <c r="T17" i="14" s="1"/>
  <c r="H16" i="20"/>
  <c r="K16" i="20" s="1"/>
  <c r="O8" i="10"/>
  <c r="O23" i="10" s="1"/>
  <c r="N37" i="8"/>
  <c r="O9" i="10" s="1"/>
  <c r="O22" i="10" s="1"/>
  <c r="M7" i="10"/>
  <c r="L50" i="8"/>
  <c r="U40" i="8"/>
  <c r="V12" i="10" s="1"/>
  <c r="V19" i="10" s="1"/>
  <c r="S38" i="8"/>
  <c r="S11" i="10"/>
  <c r="I31" i="15"/>
  <c r="L31" i="15" s="1"/>
  <c r="V32" i="15" s="1"/>
  <c r="G31" i="15"/>
  <c r="J31" i="15" s="1"/>
  <c r="T32" i="15" s="1"/>
  <c r="U32" i="15" s="1"/>
  <c r="G31" i="11"/>
  <c r="J31" i="11" s="1"/>
  <c r="T32" i="11" s="1"/>
  <c r="E31" i="11"/>
  <c r="H31" i="11" s="1"/>
  <c r="R32" i="11" s="1"/>
  <c r="S32" i="11" s="1"/>
  <c r="H82" i="5"/>
  <c r="J82" i="5" s="1"/>
  <c r="E31" i="14"/>
  <c r="H31" i="14" s="1"/>
  <c r="R32" i="14" s="1"/>
  <c r="S32" i="14" s="1"/>
  <c r="G31" i="19"/>
  <c r="J31" i="19" s="1"/>
  <c r="T32" i="19" s="1"/>
  <c r="U32" i="19" s="1"/>
  <c r="G31" i="22"/>
  <c r="J31" i="22" s="1"/>
  <c r="T32" i="22" s="1"/>
  <c r="U32" i="22" s="1"/>
  <c r="G31" i="20"/>
  <c r="J31" i="20" s="1"/>
  <c r="T32" i="20" s="1"/>
  <c r="U32" i="20" s="1"/>
  <c r="G31" i="14"/>
  <c r="J31" i="14" s="1"/>
  <c r="T32" i="14" s="1"/>
  <c r="F31" i="11"/>
  <c r="I31" i="11" s="1"/>
  <c r="B27" i="23" s="1"/>
  <c r="I31" i="20"/>
  <c r="L31" i="20" s="1"/>
  <c r="V32" i="20" s="1"/>
  <c r="F31" i="14"/>
  <c r="I31" i="14" s="1"/>
  <c r="Q27" i="23" s="1"/>
  <c r="H31" i="20"/>
  <c r="K31" i="20" s="1"/>
  <c r="H31" i="15"/>
  <c r="K31" i="15" s="1"/>
  <c r="I31" i="19"/>
  <c r="L31" i="19" s="1"/>
  <c r="V32" i="19" s="1"/>
  <c r="I31" i="22"/>
  <c r="L31" i="22" s="1"/>
  <c r="V32" i="22" s="1"/>
  <c r="H31" i="22"/>
  <c r="K31" i="22" s="1"/>
  <c r="H31" i="19"/>
  <c r="K31" i="19" s="1"/>
  <c r="H16" i="10"/>
  <c r="G49" i="8"/>
  <c r="I42" i="8"/>
  <c r="J14" i="10" s="1"/>
  <c r="J17" i="10" s="1"/>
  <c r="R7" i="10"/>
  <c r="R24" i="10" s="1"/>
  <c r="Q50" i="8"/>
  <c r="I22" i="10"/>
  <c r="M49" i="8"/>
  <c r="N16" i="10"/>
  <c r="B139" i="9" s="1"/>
  <c r="C139" i="9" s="1"/>
  <c r="B104" i="9"/>
  <c r="C104" i="9" s="1"/>
  <c r="L18" i="10"/>
  <c r="L10" i="10"/>
  <c r="L21" i="10" s="1"/>
  <c r="K52" i="8"/>
  <c r="F36" i="8"/>
  <c r="E36" i="8"/>
  <c r="W22" i="8"/>
  <c r="M39" i="8"/>
  <c r="M19" i="10"/>
  <c r="G21" i="11"/>
  <c r="J21" i="11" s="1"/>
  <c r="T22" i="11" s="1"/>
  <c r="E21" i="11"/>
  <c r="H21" i="11" s="1"/>
  <c r="R22" i="11" s="1"/>
  <c r="S22" i="11" s="1"/>
  <c r="I21" i="15"/>
  <c r="L21" i="15" s="1"/>
  <c r="V22" i="15" s="1"/>
  <c r="G21" i="15"/>
  <c r="J21" i="15" s="1"/>
  <c r="T22" i="15" s="1"/>
  <c r="U22" i="15" s="1"/>
  <c r="H72" i="5"/>
  <c r="J72" i="5" s="1"/>
  <c r="H21" i="19"/>
  <c r="K21" i="19" s="1"/>
  <c r="G21" i="20"/>
  <c r="J21" i="20" s="1"/>
  <c r="T22" i="20" s="1"/>
  <c r="U22" i="20" s="1"/>
  <c r="G21" i="22"/>
  <c r="J21" i="22" s="1"/>
  <c r="T22" i="22" s="1"/>
  <c r="U22" i="22" s="1"/>
  <c r="E21" i="14"/>
  <c r="H21" i="14" s="1"/>
  <c r="R22" i="14" s="1"/>
  <c r="S22" i="14" s="1"/>
  <c r="G21" i="19"/>
  <c r="J21" i="19" s="1"/>
  <c r="T22" i="19" s="1"/>
  <c r="U22" i="19" s="1"/>
  <c r="F21" i="14"/>
  <c r="I21" i="14" s="1"/>
  <c r="Q17" i="23" s="1"/>
  <c r="G21" i="14"/>
  <c r="J21" i="14" s="1"/>
  <c r="T22" i="14" s="1"/>
  <c r="I21" i="20"/>
  <c r="L21" i="20" s="1"/>
  <c r="V22" i="20" s="1"/>
  <c r="H21" i="15"/>
  <c r="K21" i="15" s="1"/>
  <c r="I21" i="19"/>
  <c r="L21" i="19" s="1"/>
  <c r="V22" i="19" s="1"/>
  <c r="H21" i="22"/>
  <c r="K21" i="22" s="1"/>
  <c r="H21" i="20"/>
  <c r="K21" i="20" s="1"/>
  <c r="I21" i="22"/>
  <c r="L21" i="22" s="1"/>
  <c r="V22" i="22" s="1"/>
  <c r="F21" i="11"/>
  <c r="I21" i="11" s="1"/>
  <c r="B17" i="23" s="1"/>
  <c r="K36" i="8"/>
  <c r="G42" i="8"/>
  <c r="H14" i="10" s="1"/>
  <c r="H17" i="10" s="1"/>
  <c r="G35" i="8"/>
  <c r="K11" i="10"/>
  <c r="K20" i="10" s="1"/>
  <c r="T49" i="8"/>
  <c r="U16" i="10"/>
  <c r="F34" i="8"/>
  <c r="E34" i="8"/>
  <c r="W20" i="8"/>
  <c r="G23" i="11"/>
  <c r="J23" i="11" s="1"/>
  <c r="T24" i="11" s="1"/>
  <c r="E23" i="11"/>
  <c r="H23" i="11" s="1"/>
  <c r="R24" i="11" s="1"/>
  <c r="S24" i="11" s="1"/>
  <c r="I23" i="15"/>
  <c r="L23" i="15" s="1"/>
  <c r="V24" i="15" s="1"/>
  <c r="G23" i="15"/>
  <c r="J23" i="15" s="1"/>
  <c r="T24" i="15" s="1"/>
  <c r="U24" i="15" s="1"/>
  <c r="H74" i="5"/>
  <c r="J74" i="5" s="1"/>
  <c r="E23" i="14"/>
  <c r="H23" i="14" s="1"/>
  <c r="R24" i="14" s="1"/>
  <c r="S24" i="14" s="1"/>
  <c r="G23" i="22"/>
  <c r="J23" i="22" s="1"/>
  <c r="T24" i="22" s="1"/>
  <c r="U24" i="22" s="1"/>
  <c r="G23" i="20"/>
  <c r="J23" i="20" s="1"/>
  <c r="T24" i="20" s="1"/>
  <c r="U24" i="20" s="1"/>
  <c r="G23" i="19"/>
  <c r="J23" i="19" s="1"/>
  <c r="T24" i="19" s="1"/>
  <c r="U24" i="19" s="1"/>
  <c r="G23" i="14"/>
  <c r="J23" i="14" s="1"/>
  <c r="T24" i="14" s="1"/>
  <c r="H23" i="19"/>
  <c r="K23" i="19" s="1"/>
  <c r="F23" i="14"/>
  <c r="I23" i="14" s="1"/>
  <c r="Q19" i="23" s="1"/>
  <c r="I23" i="20"/>
  <c r="L23" i="20" s="1"/>
  <c r="V24" i="20" s="1"/>
  <c r="I23" i="19"/>
  <c r="L23" i="19" s="1"/>
  <c r="V24" i="19" s="1"/>
  <c r="H23" i="20"/>
  <c r="K23" i="20" s="1"/>
  <c r="H23" i="15"/>
  <c r="K23" i="15" s="1"/>
  <c r="F23" i="11"/>
  <c r="I23" i="11" s="1"/>
  <c r="B19" i="23" s="1"/>
  <c r="H23" i="22"/>
  <c r="K23" i="22" s="1"/>
  <c r="I23" i="22"/>
  <c r="L23" i="22" s="1"/>
  <c r="V24" i="22" s="1"/>
  <c r="K34" i="8"/>
  <c r="Q36" i="8"/>
  <c r="O34" i="8"/>
  <c r="O40" i="8"/>
  <c r="P12" i="10" s="1"/>
  <c r="P19" i="10" s="1"/>
  <c r="P37" i="8"/>
  <c r="Q9" i="10" s="1"/>
  <c r="N35" i="8"/>
  <c r="P35" i="8"/>
  <c r="R41" i="8"/>
  <c r="S13" i="10" s="1"/>
  <c r="S18" i="10" s="1"/>
  <c r="G11" i="11"/>
  <c r="J11" i="11" s="1"/>
  <c r="T12" i="11" s="1"/>
  <c r="E11" i="11"/>
  <c r="H11" i="11" s="1"/>
  <c r="R12" i="11" s="1"/>
  <c r="S12" i="11" s="1"/>
  <c r="I11" i="15"/>
  <c r="L11" i="15" s="1"/>
  <c r="V12" i="15" s="1"/>
  <c r="G11" i="15"/>
  <c r="H62" i="5"/>
  <c r="J62" i="5" s="1"/>
  <c r="E11" i="14"/>
  <c r="H11" i="14" s="1"/>
  <c r="R12" i="14" s="1"/>
  <c r="S12" i="14" s="1"/>
  <c r="G11" i="19"/>
  <c r="G11" i="20"/>
  <c r="G11" i="22"/>
  <c r="H11" i="15"/>
  <c r="K11" i="15" s="1"/>
  <c r="I11" i="22"/>
  <c r="L11" i="22" s="1"/>
  <c r="V12" i="22" s="1"/>
  <c r="H11" i="19"/>
  <c r="K11" i="19" s="1"/>
  <c r="G11" i="14"/>
  <c r="J11" i="14" s="1"/>
  <c r="T12" i="14" s="1"/>
  <c r="F11" i="11"/>
  <c r="I11" i="11" s="1"/>
  <c r="B7" i="23" s="1"/>
  <c r="I11" i="19"/>
  <c r="L11" i="19" s="1"/>
  <c r="V12" i="19" s="1"/>
  <c r="H11" i="20"/>
  <c r="K11" i="20" s="1"/>
  <c r="H11" i="22"/>
  <c r="K11" i="22" s="1"/>
  <c r="F11" i="14"/>
  <c r="I11" i="14" s="1"/>
  <c r="Q7" i="23" s="1"/>
  <c r="I11" i="20"/>
  <c r="L11" i="20" s="1"/>
  <c r="V12" i="20" s="1"/>
  <c r="G30" i="11"/>
  <c r="J30" i="11" s="1"/>
  <c r="T31" i="11" s="1"/>
  <c r="E30" i="11"/>
  <c r="H30" i="11" s="1"/>
  <c r="R31" i="11" s="1"/>
  <c r="S31" i="11" s="1"/>
  <c r="I30" i="15"/>
  <c r="L30" i="15" s="1"/>
  <c r="V31" i="15" s="1"/>
  <c r="G30" i="19"/>
  <c r="J30" i="19" s="1"/>
  <c r="T31" i="19" s="1"/>
  <c r="U31" i="19" s="1"/>
  <c r="G30" i="15"/>
  <c r="J30" i="15" s="1"/>
  <c r="T31" i="15" s="1"/>
  <c r="U31" i="15" s="1"/>
  <c r="H81" i="5"/>
  <c r="J81" i="5" s="1"/>
  <c r="G30" i="22"/>
  <c r="J30" i="22" s="1"/>
  <c r="T31" i="22" s="1"/>
  <c r="U31" i="22" s="1"/>
  <c r="I30" i="19"/>
  <c r="L30" i="19" s="1"/>
  <c r="V31" i="19" s="1"/>
  <c r="E30" i="14"/>
  <c r="H30" i="14" s="1"/>
  <c r="R31" i="14" s="1"/>
  <c r="S31" i="14" s="1"/>
  <c r="G30" i="20"/>
  <c r="J30" i="20" s="1"/>
  <c r="T31" i="20" s="1"/>
  <c r="U31" i="20" s="1"/>
  <c r="G30" i="14"/>
  <c r="J30" i="14" s="1"/>
  <c r="T31" i="14" s="1"/>
  <c r="H30" i="15"/>
  <c r="K30" i="15" s="1"/>
  <c r="F30" i="14"/>
  <c r="I30" i="14" s="1"/>
  <c r="Q26" i="23" s="1"/>
  <c r="I30" i="20"/>
  <c r="L30" i="20" s="1"/>
  <c r="V31" i="20" s="1"/>
  <c r="F30" i="11"/>
  <c r="I30" i="11" s="1"/>
  <c r="B26" i="23" s="1"/>
  <c r="H30" i="20"/>
  <c r="K30" i="20" s="1"/>
  <c r="I30" i="22"/>
  <c r="L30" i="22" s="1"/>
  <c r="V31" i="22" s="1"/>
  <c r="H30" i="19"/>
  <c r="K30" i="19" s="1"/>
  <c r="H30" i="22"/>
  <c r="K30" i="22" s="1"/>
  <c r="U10" i="10"/>
  <c r="U21" i="10" s="1"/>
  <c r="T52" i="8"/>
  <c r="U50" i="8"/>
  <c r="V7" i="10"/>
  <c r="K37" i="8"/>
  <c r="L9" i="10" s="1"/>
  <c r="L22" i="10" s="1"/>
  <c r="I35" i="8"/>
  <c r="N41" i="8"/>
  <c r="O13" i="10" s="1"/>
  <c r="O18" i="10" s="1"/>
  <c r="N38" i="8"/>
  <c r="H36" i="8"/>
  <c r="J36" i="8"/>
  <c r="L42" i="8"/>
  <c r="M14" i="10" s="1"/>
  <c r="M17" i="10" s="1"/>
  <c r="S39" i="8"/>
  <c r="I22" i="15"/>
  <c r="L22" i="15" s="1"/>
  <c r="V23" i="15" s="1"/>
  <c r="G22" i="15"/>
  <c r="J22" i="15" s="1"/>
  <c r="T23" i="15" s="1"/>
  <c r="U23" i="15" s="1"/>
  <c r="G22" i="11"/>
  <c r="J22" i="11" s="1"/>
  <c r="T23" i="11" s="1"/>
  <c r="E22" i="11"/>
  <c r="H22" i="11" s="1"/>
  <c r="R23" i="11" s="1"/>
  <c r="S23" i="11" s="1"/>
  <c r="H73" i="5"/>
  <c r="J73" i="5" s="1"/>
  <c r="E22" i="14"/>
  <c r="H22" i="14" s="1"/>
  <c r="R23" i="14" s="1"/>
  <c r="S23" i="14" s="1"/>
  <c r="G22" i="22"/>
  <c r="J22" i="22" s="1"/>
  <c r="T23" i="22" s="1"/>
  <c r="U23" i="22" s="1"/>
  <c r="G22" i="19"/>
  <c r="J22" i="19" s="1"/>
  <c r="T23" i="19" s="1"/>
  <c r="U23" i="19" s="1"/>
  <c r="G22" i="20"/>
  <c r="J22" i="20" s="1"/>
  <c r="T23" i="20" s="1"/>
  <c r="U23" i="20" s="1"/>
  <c r="I22" i="20"/>
  <c r="L22" i="20" s="1"/>
  <c r="V23" i="20" s="1"/>
  <c r="G22" i="14"/>
  <c r="J22" i="14" s="1"/>
  <c r="T23" i="14" s="1"/>
  <c r="H22" i="20"/>
  <c r="K22" i="20" s="1"/>
  <c r="H22" i="15"/>
  <c r="K22" i="15" s="1"/>
  <c r="H22" i="22"/>
  <c r="K22" i="22" s="1"/>
  <c r="I22" i="19"/>
  <c r="L22" i="19" s="1"/>
  <c r="V23" i="19" s="1"/>
  <c r="F22" i="11"/>
  <c r="I22" i="11" s="1"/>
  <c r="B18" i="23" s="1"/>
  <c r="H22" i="19"/>
  <c r="K22" i="19" s="1"/>
  <c r="I22" i="22"/>
  <c r="L22" i="22" s="1"/>
  <c r="V23" i="22" s="1"/>
  <c r="F22" i="14"/>
  <c r="I22" i="14" s="1"/>
  <c r="Q18" i="23" s="1"/>
  <c r="O36" i="8"/>
  <c r="G52" i="8"/>
  <c r="H10" i="10"/>
  <c r="H21" i="10" s="1"/>
  <c r="T8" i="10"/>
  <c r="T23" i="10" s="1"/>
  <c r="L39" i="8"/>
  <c r="S37" i="8"/>
  <c r="T9" i="10" s="1"/>
  <c r="T22" i="10" s="1"/>
  <c r="U37" i="8"/>
  <c r="V9" i="10" s="1"/>
  <c r="U38" i="8"/>
  <c r="M40" i="8"/>
  <c r="N12" i="10" s="1"/>
  <c r="N19" i="10" s="1"/>
  <c r="G12" i="19"/>
  <c r="J12" i="19" s="1"/>
  <c r="T13" i="19" s="1"/>
  <c r="U13" i="19" s="1"/>
  <c r="I12" i="15"/>
  <c r="L12" i="15" s="1"/>
  <c r="V13" i="15" s="1"/>
  <c r="G12" i="15"/>
  <c r="J12" i="15" s="1"/>
  <c r="T13" i="15" s="1"/>
  <c r="U13" i="15" s="1"/>
  <c r="G12" i="11"/>
  <c r="J12" i="11" s="1"/>
  <c r="T13" i="11" s="1"/>
  <c r="E12" i="11"/>
  <c r="H12" i="11" s="1"/>
  <c r="R13" i="11" s="1"/>
  <c r="S13" i="11" s="1"/>
  <c r="H63" i="5"/>
  <c r="J63" i="5" s="1"/>
  <c r="G12" i="22"/>
  <c r="J12" i="22" s="1"/>
  <c r="T13" i="22" s="1"/>
  <c r="U13" i="22" s="1"/>
  <c r="G12" i="20"/>
  <c r="J12" i="20" s="1"/>
  <c r="T13" i="20" s="1"/>
  <c r="U13" i="20" s="1"/>
  <c r="H12" i="15"/>
  <c r="K12" i="15" s="1"/>
  <c r="F12" i="11"/>
  <c r="I12" i="11" s="1"/>
  <c r="B8" i="23" s="1"/>
  <c r="H12" i="19"/>
  <c r="K12" i="19" s="1"/>
  <c r="E12" i="14"/>
  <c r="H12" i="14" s="1"/>
  <c r="R13" i="14" s="1"/>
  <c r="S13" i="14" s="1"/>
  <c r="G12" i="14"/>
  <c r="J12" i="14" s="1"/>
  <c r="T13" i="14" s="1"/>
  <c r="I12" i="22"/>
  <c r="L12" i="22" s="1"/>
  <c r="V13" i="22" s="1"/>
  <c r="I12" i="19"/>
  <c r="L12" i="19" s="1"/>
  <c r="V13" i="19" s="1"/>
  <c r="H12" i="20"/>
  <c r="K12" i="20" s="1"/>
  <c r="I12" i="20"/>
  <c r="L12" i="20" s="1"/>
  <c r="V13" i="20" s="1"/>
  <c r="F12" i="14"/>
  <c r="I12" i="14" s="1"/>
  <c r="Q8" i="23" s="1"/>
  <c r="H12" i="22"/>
  <c r="K12" i="22" s="1"/>
  <c r="I20" i="15"/>
  <c r="L20" i="15" s="1"/>
  <c r="V21" i="15" s="1"/>
  <c r="G20" i="15"/>
  <c r="J20" i="15" s="1"/>
  <c r="T21" i="15" s="1"/>
  <c r="U21" i="15" s="1"/>
  <c r="G20" i="11"/>
  <c r="J20" i="11" s="1"/>
  <c r="T21" i="11" s="1"/>
  <c r="E20" i="11"/>
  <c r="H20" i="11" s="1"/>
  <c r="R21" i="11" s="1"/>
  <c r="S21" i="11" s="1"/>
  <c r="H71" i="5"/>
  <c r="J71" i="5" s="1"/>
  <c r="G20" i="20"/>
  <c r="J20" i="20" s="1"/>
  <c r="T21" i="20" s="1"/>
  <c r="U21" i="20" s="1"/>
  <c r="G20" i="22"/>
  <c r="J20" i="22" s="1"/>
  <c r="T21" i="22" s="1"/>
  <c r="U21" i="22" s="1"/>
  <c r="E20" i="14"/>
  <c r="H20" i="14" s="1"/>
  <c r="R21" i="14" s="1"/>
  <c r="S21" i="14" s="1"/>
  <c r="G20" i="19"/>
  <c r="J20" i="19" s="1"/>
  <c r="T21" i="19" s="1"/>
  <c r="U21" i="19" s="1"/>
  <c r="H20" i="15"/>
  <c r="K20" i="15" s="1"/>
  <c r="H20" i="19"/>
  <c r="K20" i="19" s="1"/>
  <c r="I20" i="20"/>
  <c r="L20" i="20" s="1"/>
  <c r="V21" i="20" s="1"/>
  <c r="H20" i="22"/>
  <c r="K20" i="22" s="1"/>
  <c r="F20" i="11"/>
  <c r="I20" i="11" s="1"/>
  <c r="B16" i="23" s="1"/>
  <c r="G20" i="14"/>
  <c r="J20" i="14" s="1"/>
  <c r="T21" i="14" s="1"/>
  <c r="H20" i="20"/>
  <c r="K20" i="20" s="1"/>
  <c r="F20" i="14"/>
  <c r="I20" i="14" s="1"/>
  <c r="Q16" i="23" s="1"/>
  <c r="I20" i="19"/>
  <c r="L20" i="19" s="1"/>
  <c r="V21" i="19" s="1"/>
  <c r="I20" i="22"/>
  <c r="L20" i="22" s="1"/>
  <c r="V21" i="22" s="1"/>
  <c r="H34" i="8"/>
  <c r="I37" i="8"/>
  <c r="J9" i="10" s="1"/>
  <c r="J22" i="10" s="1"/>
  <c r="F39" i="8"/>
  <c r="W25" i="8"/>
  <c r="E39" i="8"/>
  <c r="M37" i="8"/>
  <c r="N9" i="10" s="1"/>
  <c r="N22" i="10" s="1"/>
  <c r="Q34" i="8"/>
  <c r="R40" i="8"/>
  <c r="S12" i="10" s="1"/>
  <c r="S19" i="10" s="1"/>
  <c r="P38" i="8"/>
  <c r="R38" i="8"/>
  <c r="O39" i="8"/>
  <c r="H41" i="8"/>
  <c r="I13" i="10" s="1"/>
  <c r="I18" i="10" s="1"/>
  <c r="G17" i="11"/>
  <c r="J17" i="11" s="1"/>
  <c r="T18" i="11" s="1"/>
  <c r="I17" i="15"/>
  <c r="L17" i="15" s="1"/>
  <c r="V18" i="15" s="1"/>
  <c r="E17" i="11"/>
  <c r="H17" i="11" s="1"/>
  <c r="R18" i="11" s="1"/>
  <c r="S18" i="11" s="1"/>
  <c r="G17" i="15"/>
  <c r="J17" i="15" s="1"/>
  <c r="T18" i="15" s="1"/>
  <c r="U18" i="15" s="1"/>
  <c r="G17" i="19"/>
  <c r="J17" i="19" s="1"/>
  <c r="T18" i="19" s="1"/>
  <c r="U18" i="19" s="1"/>
  <c r="H68" i="5"/>
  <c r="J68" i="5" s="1"/>
  <c r="I17" i="20"/>
  <c r="L17" i="20" s="1"/>
  <c r="V18" i="20" s="1"/>
  <c r="G17" i="22"/>
  <c r="J17" i="22" s="1"/>
  <c r="T18" i="22" s="1"/>
  <c r="U18" i="22" s="1"/>
  <c r="G17" i="20"/>
  <c r="J17" i="20" s="1"/>
  <c r="T18" i="20" s="1"/>
  <c r="U18" i="20" s="1"/>
  <c r="E17" i="14"/>
  <c r="H17" i="14" s="1"/>
  <c r="R18" i="14" s="1"/>
  <c r="S18" i="14" s="1"/>
  <c r="G17" i="14"/>
  <c r="J17" i="14" s="1"/>
  <c r="T18" i="14" s="1"/>
  <c r="F17" i="14"/>
  <c r="I17" i="14" s="1"/>
  <c r="Q13" i="23" s="1"/>
  <c r="I17" i="22"/>
  <c r="L17" i="22" s="1"/>
  <c r="V18" i="22" s="1"/>
  <c r="H17" i="22"/>
  <c r="K17" i="22" s="1"/>
  <c r="H17" i="19"/>
  <c r="K17" i="19" s="1"/>
  <c r="I17" i="19"/>
  <c r="L17" i="19" s="1"/>
  <c r="V18" i="19" s="1"/>
  <c r="F17" i="11"/>
  <c r="I17" i="11" s="1"/>
  <c r="B13" i="23" s="1"/>
  <c r="H17" i="15"/>
  <c r="K17" i="15" s="1"/>
  <c r="H17" i="20"/>
  <c r="K17" i="20" s="1"/>
  <c r="I29" i="15"/>
  <c r="L29" i="15" s="1"/>
  <c r="V30" i="15" s="1"/>
  <c r="G29" i="15"/>
  <c r="J29" i="15" s="1"/>
  <c r="T30" i="15" s="1"/>
  <c r="U30" i="15" s="1"/>
  <c r="G29" i="11"/>
  <c r="J29" i="11" s="1"/>
  <c r="T30" i="11" s="1"/>
  <c r="E29" i="11"/>
  <c r="H29" i="11" s="1"/>
  <c r="R30" i="11" s="1"/>
  <c r="S30" i="11" s="1"/>
  <c r="G29" i="19"/>
  <c r="J29" i="19" s="1"/>
  <c r="T30" i="19" s="1"/>
  <c r="U30" i="19" s="1"/>
  <c r="H80" i="5"/>
  <c r="J80" i="5" s="1"/>
  <c r="G29" i="20"/>
  <c r="J29" i="20" s="1"/>
  <c r="T30" i="20" s="1"/>
  <c r="U30" i="20" s="1"/>
  <c r="E29" i="14"/>
  <c r="H29" i="14" s="1"/>
  <c r="R30" i="14" s="1"/>
  <c r="S30" i="14" s="1"/>
  <c r="G29" i="22"/>
  <c r="J29" i="22" s="1"/>
  <c r="T30" i="22" s="1"/>
  <c r="U30" i="22" s="1"/>
  <c r="I29" i="20"/>
  <c r="L29" i="20" s="1"/>
  <c r="V30" i="20" s="1"/>
  <c r="H29" i="20"/>
  <c r="K29" i="20" s="1"/>
  <c r="F29" i="14"/>
  <c r="I29" i="14" s="1"/>
  <c r="Q25" i="23" s="1"/>
  <c r="I29" i="22"/>
  <c r="L29" i="22" s="1"/>
  <c r="V30" i="22" s="1"/>
  <c r="G29" i="14"/>
  <c r="J29" i="14" s="1"/>
  <c r="T30" i="14" s="1"/>
  <c r="H29" i="19"/>
  <c r="K29" i="19" s="1"/>
  <c r="I29" i="19"/>
  <c r="L29" i="19" s="1"/>
  <c r="V30" i="19" s="1"/>
  <c r="H29" i="15"/>
  <c r="K29" i="15" s="1"/>
  <c r="H29" i="22"/>
  <c r="K29" i="22" s="1"/>
  <c r="F29" i="11"/>
  <c r="I29" i="11" s="1"/>
  <c r="B25" i="23" s="1"/>
  <c r="R35" i="8"/>
  <c r="F41" i="8"/>
  <c r="G13" i="10" s="1"/>
  <c r="G18" i="10" s="1"/>
  <c r="E41" i="8"/>
  <c r="W27" i="8"/>
  <c r="J38" i="8"/>
  <c r="K35" i="8"/>
  <c r="P41" i="8"/>
  <c r="Q13" i="10" s="1"/>
  <c r="Q18" i="10" s="1"/>
  <c r="Q39" i="8"/>
  <c r="U39" i="8"/>
  <c r="I40" i="8"/>
  <c r="J12" i="10" s="1"/>
  <c r="J19" i="10" s="1"/>
  <c r="R42" i="8"/>
  <c r="S14" i="10" s="1"/>
  <c r="S17" i="10" s="1"/>
  <c r="D145" i="7"/>
  <c r="C75" i="7"/>
  <c r="W27" i="20" l="1"/>
  <c r="J53" i="8"/>
  <c r="U27" i="14"/>
  <c r="W25" i="22"/>
  <c r="W26" i="20"/>
  <c r="W24" i="22"/>
  <c r="X24" i="22" s="1"/>
  <c r="Y24" i="22" s="1"/>
  <c r="W15" i="15"/>
  <c r="W32" i="15"/>
  <c r="U18" i="14"/>
  <c r="W24" i="20"/>
  <c r="W18" i="15"/>
  <c r="W27" i="19"/>
  <c r="W18" i="19"/>
  <c r="U31" i="14"/>
  <c r="W25" i="20"/>
  <c r="U17" i="11"/>
  <c r="V17" i="11" s="1"/>
  <c r="W17" i="11" s="1"/>
  <c r="W26" i="15"/>
  <c r="W28" i="20"/>
  <c r="U24" i="14"/>
  <c r="W14" i="22"/>
  <c r="W23" i="20"/>
  <c r="U22" i="14"/>
  <c r="Y22" i="14" s="1"/>
  <c r="Z22" i="14" s="1"/>
  <c r="AA22" i="14" s="1"/>
  <c r="W23" i="15"/>
  <c r="W32" i="19"/>
  <c r="W14" i="15"/>
  <c r="W28" i="15"/>
  <c r="W19" i="15"/>
  <c r="U28" i="14"/>
  <c r="W20" i="22"/>
  <c r="W25" i="19"/>
  <c r="W13" i="19"/>
  <c r="U32" i="14"/>
  <c r="Y32" i="14" s="1"/>
  <c r="Z32" i="14" s="1"/>
  <c r="AA32" i="14" s="1"/>
  <c r="W28" i="22"/>
  <c r="U14" i="14"/>
  <c r="V14" i="14" s="1"/>
  <c r="W14" i="14" s="1"/>
  <c r="L43" i="8"/>
  <c r="L44" i="8" s="1"/>
  <c r="U29" i="14"/>
  <c r="B105" i="9"/>
  <c r="C105" i="9" s="1"/>
  <c r="W17" i="22"/>
  <c r="W19" i="22"/>
  <c r="W24" i="19"/>
  <c r="W21" i="15"/>
  <c r="U25" i="11"/>
  <c r="U13" i="11"/>
  <c r="Y13" i="11" s="1"/>
  <c r="Z13" i="11" s="1"/>
  <c r="AA13" i="11" s="1"/>
  <c r="U30" i="14"/>
  <c r="U18" i="11"/>
  <c r="V18" i="11" s="1"/>
  <c r="W18" i="11" s="1"/>
  <c r="W31" i="20"/>
  <c r="W17" i="19"/>
  <c r="W16" i="19"/>
  <c r="AA16" i="19" s="1"/>
  <c r="AB16" i="19" s="1"/>
  <c r="U28" i="11"/>
  <c r="Y28" i="11" s="1"/>
  <c r="Z28" i="11" s="1"/>
  <c r="AA28" i="11" s="1"/>
  <c r="W30" i="22"/>
  <c r="J43" i="8"/>
  <c r="J44" i="8" s="1"/>
  <c r="W13" i="20"/>
  <c r="P43" i="8"/>
  <c r="P44" i="8" s="1"/>
  <c r="N43" i="8"/>
  <c r="N44" i="8" s="1"/>
  <c r="W30" i="20"/>
  <c r="W18" i="22"/>
  <c r="X18" i="22" s="1"/>
  <c r="Y18" i="22" s="1"/>
  <c r="W21" i="20"/>
  <c r="G43" i="8"/>
  <c r="G44" i="8" s="1"/>
  <c r="W15" i="22"/>
  <c r="X15" i="22" s="1"/>
  <c r="Y15" i="22" s="1"/>
  <c r="U13" i="14"/>
  <c r="N51" i="8"/>
  <c r="W29" i="20"/>
  <c r="X29" i="20" s="1"/>
  <c r="Y29" i="20" s="1"/>
  <c r="W28" i="19"/>
  <c r="W16" i="22"/>
  <c r="U16" i="11"/>
  <c r="W31" i="15"/>
  <c r="AA31" i="15" s="1"/>
  <c r="AB31" i="15" s="1"/>
  <c r="W29" i="22"/>
  <c r="U16" i="14"/>
  <c r="U20" i="14"/>
  <c r="U27" i="11"/>
  <c r="V27" i="11" s="1"/>
  <c r="W27" i="11" s="1"/>
  <c r="W26" i="19"/>
  <c r="F13" i="10"/>
  <c r="F18" i="10" s="1"/>
  <c r="V41" i="8"/>
  <c r="F11" i="10"/>
  <c r="F20" i="10" s="1"/>
  <c r="V39" i="8"/>
  <c r="E53" i="8"/>
  <c r="V24" i="10"/>
  <c r="K32" i="15" a="1"/>
  <c r="K32" i="15" s="1"/>
  <c r="P16" i="10"/>
  <c r="B141" i="9" s="1"/>
  <c r="C141" i="9" s="1"/>
  <c r="O43" i="8"/>
  <c r="O44" i="8" s="1"/>
  <c r="O49" i="8"/>
  <c r="L8" i="10"/>
  <c r="L23" i="10" s="1"/>
  <c r="K51" i="8"/>
  <c r="W32" i="20"/>
  <c r="K24" i="10"/>
  <c r="W27" i="22"/>
  <c r="N113" i="9"/>
  <c r="O113" i="9" s="1"/>
  <c r="Q195" i="9" s="1"/>
  <c r="D23" i="12" s="1"/>
  <c r="O12" i="25"/>
  <c r="R11" i="23"/>
  <c r="S11" i="23" s="1"/>
  <c r="O12" i="24"/>
  <c r="U43" i="8"/>
  <c r="U44" i="8" s="1"/>
  <c r="C7" i="23"/>
  <c r="D7" i="23" s="1"/>
  <c r="B9" i="25"/>
  <c r="C8" i="23"/>
  <c r="D8" i="23" s="1"/>
  <c r="B9" i="24"/>
  <c r="S51" i="8"/>
  <c r="J11" i="22"/>
  <c r="T12" i="22" s="1"/>
  <c r="U12" i="22" s="1"/>
  <c r="G32" i="22" a="1"/>
  <c r="G32" i="22" s="1"/>
  <c r="R8" i="10"/>
  <c r="R23" i="10" s="1"/>
  <c r="Q51" i="8"/>
  <c r="B18" i="25"/>
  <c r="C17" i="23"/>
  <c r="D17" i="23" s="1"/>
  <c r="B18" i="24"/>
  <c r="W22" i="15"/>
  <c r="B28" i="25"/>
  <c r="B28" i="24"/>
  <c r="M24" i="10"/>
  <c r="W29" i="15"/>
  <c r="R21" i="23"/>
  <c r="S21" i="23" s="1"/>
  <c r="O22" i="24"/>
  <c r="O22" i="25"/>
  <c r="O23" i="24"/>
  <c r="O23" i="25"/>
  <c r="R22" i="23"/>
  <c r="S22" i="23" s="1"/>
  <c r="W19" i="20"/>
  <c r="W20" i="20"/>
  <c r="W14" i="19"/>
  <c r="O11" i="24"/>
  <c r="R10" i="23"/>
  <c r="S10" i="23" s="1"/>
  <c r="O11" i="25"/>
  <c r="R20" i="23"/>
  <c r="S20" i="23" s="1"/>
  <c r="O21" i="25"/>
  <c r="O21" i="24"/>
  <c r="O26" i="25"/>
  <c r="R25" i="23"/>
  <c r="S25" i="23" s="1"/>
  <c r="O26" i="24"/>
  <c r="J11" i="20"/>
  <c r="T12" i="20" s="1"/>
  <c r="U12" i="20" s="1"/>
  <c r="G32" i="20" a="1"/>
  <c r="G32" i="20" s="1"/>
  <c r="K49" i="8"/>
  <c r="L16" i="10"/>
  <c r="B137" i="9" s="1"/>
  <c r="C137" i="9" s="1"/>
  <c r="E186" i="9" s="1"/>
  <c r="D38" i="12" s="1"/>
  <c r="K43" i="8"/>
  <c r="K44" i="8" s="1"/>
  <c r="W22" i="22"/>
  <c r="V32" i="14"/>
  <c r="W32" i="14" s="1"/>
  <c r="W29" i="19"/>
  <c r="U26" i="14"/>
  <c r="E188" i="9"/>
  <c r="D40" i="12" s="1"/>
  <c r="N24" i="10"/>
  <c r="C20" i="23"/>
  <c r="D20" i="23" s="1"/>
  <c r="B21" i="24"/>
  <c r="B21" i="25"/>
  <c r="B14" i="24"/>
  <c r="C13" i="23"/>
  <c r="D13" i="23" s="1"/>
  <c r="B14" i="25"/>
  <c r="S10" i="10"/>
  <c r="S21" i="10" s="1"/>
  <c r="R52" i="8"/>
  <c r="Q10" i="10"/>
  <c r="Q21" i="10" s="1"/>
  <c r="P52" i="8"/>
  <c r="S7" i="10"/>
  <c r="R50" i="8"/>
  <c r="W18" i="20"/>
  <c r="G11" i="10"/>
  <c r="G20" i="10" s="1"/>
  <c r="F53" i="8"/>
  <c r="B26" i="24"/>
  <c r="C25" i="23"/>
  <c r="D25" i="23" s="1"/>
  <c r="B26" i="25"/>
  <c r="U30" i="11"/>
  <c r="J11" i="19"/>
  <c r="T12" i="19" s="1"/>
  <c r="U12" i="19" s="1"/>
  <c r="G32" i="19" a="1"/>
  <c r="G32" i="19" s="1"/>
  <c r="W24" i="15"/>
  <c r="U22" i="11"/>
  <c r="O25" i="24"/>
  <c r="R24" i="23"/>
  <c r="S24" i="23" s="1"/>
  <c r="O25" i="25"/>
  <c r="U29" i="11"/>
  <c r="X27" i="19"/>
  <c r="Y27" i="19" s="1"/>
  <c r="AA27" i="19"/>
  <c r="AB27" i="19" s="1"/>
  <c r="X16" i="19"/>
  <c r="Y16" i="19" s="1"/>
  <c r="U19" i="14"/>
  <c r="O16" i="25"/>
  <c r="O16" i="24"/>
  <c r="R15" i="23"/>
  <c r="S15" i="23" s="1"/>
  <c r="AA14" i="22"/>
  <c r="AB14" i="22" s="1"/>
  <c r="X14" i="22"/>
  <c r="Y14" i="22" s="1"/>
  <c r="AA25" i="19"/>
  <c r="AB25" i="19" s="1"/>
  <c r="X25" i="19"/>
  <c r="Y25" i="19" s="1"/>
  <c r="V30" i="14"/>
  <c r="W30" i="14" s="1"/>
  <c r="Y30" i="14"/>
  <c r="Z30" i="14" s="1"/>
  <c r="AA30" i="14" s="1"/>
  <c r="V11" i="10"/>
  <c r="V20" i="10" s="1"/>
  <c r="U53" i="8"/>
  <c r="X30" i="20"/>
  <c r="Y30" i="20" s="1"/>
  <c r="AA30" i="20"/>
  <c r="AB30" i="20" s="1"/>
  <c r="B12" i="25"/>
  <c r="B12" i="24"/>
  <c r="C11" i="23"/>
  <c r="D11" i="23" s="1"/>
  <c r="M51" i="8"/>
  <c r="N8" i="10"/>
  <c r="N23" i="10" s="1"/>
  <c r="V28" i="11"/>
  <c r="W28" i="11" s="1"/>
  <c r="I24" i="10"/>
  <c r="Y20" i="14"/>
  <c r="Z20" i="14" s="1"/>
  <c r="AA20" i="14" s="1"/>
  <c r="V20" i="14"/>
  <c r="W20" i="14" s="1"/>
  <c r="O10" i="24"/>
  <c r="O10" i="25"/>
  <c r="R9" i="23"/>
  <c r="S9" i="23" s="1"/>
  <c r="X25" i="22"/>
  <c r="Y25" i="22" s="1"/>
  <c r="AA25" i="22"/>
  <c r="AB25" i="22" s="1"/>
  <c r="R11" i="10"/>
  <c r="R20" i="10" s="1"/>
  <c r="Q53" i="8"/>
  <c r="H49" i="8"/>
  <c r="I16" i="10"/>
  <c r="H43" i="8"/>
  <c r="H44" i="8" s="1"/>
  <c r="P8" i="10"/>
  <c r="O51" i="8"/>
  <c r="AA29" i="20"/>
  <c r="AB29" i="20" s="1"/>
  <c r="V40" i="8"/>
  <c r="F12" i="10"/>
  <c r="F19" i="10" s="1"/>
  <c r="W21" i="22"/>
  <c r="U21" i="11"/>
  <c r="U23" i="11"/>
  <c r="B20" i="25"/>
  <c r="B20" i="24"/>
  <c r="C19" i="23"/>
  <c r="D19" i="23" s="1"/>
  <c r="W22" i="19"/>
  <c r="W17" i="15"/>
  <c r="E190" i="9"/>
  <c r="D42" i="12" s="1"/>
  <c r="B142" i="9"/>
  <c r="C142" i="9" s="1"/>
  <c r="E191" i="9" s="1"/>
  <c r="D43" i="12" s="1"/>
  <c r="X28" i="20"/>
  <c r="Y28" i="20" s="1"/>
  <c r="AA28" i="20"/>
  <c r="AB28" i="20" s="1"/>
  <c r="X19" i="22"/>
  <c r="Y19" i="22" s="1"/>
  <c r="AA19" i="22"/>
  <c r="AB19" i="22" s="1"/>
  <c r="B16" i="25"/>
  <c r="C15" i="23"/>
  <c r="D15" i="23" s="1"/>
  <c r="B16" i="24"/>
  <c r="S43" i="8"/>
  <c r="S44" i="8" s="1"/>
  <c r="U51" i="8"/>
  <c r="AA25" i="20"/>
  <c r="AB25" i="20" s="1"/>
  <c r="X25" i="20"/>
  <c r="Y25" i="20" s="1"/>
  <c r="X31" i="15"/>
  <c r="Y31" i="15" s="1"/>
  <c r="B23" i="24"/>
  <c r="B23" i="25"/>
  <c r="C22" i="23"/>
  <c r="D22" i="23" s="1"/>
  <c r="W30" i="15"/>
  <c r="O19" i="24"/>
  <c r="O19" i="25"/>
  <c r="R18" i="23"/>
  <c r="S18" i="23" s="1"/>
  <c r="L62" i="5"/>
  <c r="U24" i="11"/>
  <c r="W30" i="19"/>
  <c r="W21" i="19"/>
  <c r="W23" i="22"/>
  <c r="W31" i="22"/>
  <c r="U31" i="11"/>
  <c r="G32" i="15" a="1"/>
  <c r="G32" i="15" s="1"/>
  <c r="J11" i="15"/>
  <c r="T12" i="15" s="1"/>
  <c r="U12" i="15" s="1"/>
  <c r="N11" i="10"/>
  <c r="N20" i="10" s="1"/>
  <c r="M53" i="8"/>
  <c r="U17" i="14"/>
  <c r="B136" i="9"/>
  <c r="C136" i="9" s="1"/>
  <c r="O24" i="24"/>
  <c r="O24" i="25"/>
  <c r="R23" i="23"/>
  <c r="S23" i="23" s="1"/>
  <c r="W20" i="19"/>
  <c r="I53" i="8"/>
  <c r="X18" i="15"/>
  <c r="Y18" i="15" s="1"/>
  <c r="AA18" i="15"/>
  <c r="AB18" i="15" s="1"/>
  <c r="O17" i="25"/>
  <c r="O17" i="24"/>
  <c r="R16" i="23"/>
  <c r="S16" i="23" s="1"/>
  <c r="X21" i="15"/>
  <c r="Y21" i="15" s="1"/>
  <c r="AA21" i="15"/>
  <c r="AB21" i="15" s="1"/>
  <c r="X23" i="15"/>
  <c r="Y23" i="15" s="1"/>
  <c r="AA23" i="15"/>
  <c r="AB23" i="15" s="1"/>
  <c r="E49" i="8"/>
  <c r="F16" i="10"/>
  <c r="E43" i="8"/>
  <c r="V34" i="8"/>
  <c r="W22" i="20"/>
  <c r="B13" i="25"/>
  <c r="C12" i="23"/>
  <c r="D12" i="23" s="1"/>
  <c r="B13" i="24"/>
  <c r="V29" i="14"/>
  <c r="W29" i="14" s="1"/>
  <c r="Y29" i="14"/>
  <c r="Z29" i="14" s="1"/>
  <c r="AA29" i="14" s="1"/>
  <c r="F10" i="10"/>
  <c r="F21" i="10" s="1"/>
  <c r="E52" i="8"/>
  <c r="V38" i="8"/>
  <c r="X28" i="15"/>
  <c r="Y28" i="15" s="1"/>
  <c r="AA28" i="15"/>
  <c r="AB28" i="15" s="1"/>
  <c r="P51" i="8"/>
  <c r="O30" i="10"/>
  <c r="B140" i="9"/>
  <c r="C140" i="9" s="1"/>
  <c r="E189" i="9" s="1"/>
  <c r="D41" i="12" s="1"/>
  <c r="J20" i="10"/>
  <c r="M68" i="9"/>
  <c r="N68" i="9" s="1"/>
  <c r="C18" i="23"/>
  <c r="D18" i="23" s="1"/>
  <c r="B19" i="24"/>
  <c r="B19" i="25"/>
  <c r="S53" i="8"/>
  <c r="T11" i="10"/>
  <c r="T20" i="10" s="1"/>
  <c r="B27" i="24"/>
  <c r="B27" i="25"/>
  <c r="C26" i="23"/>
  <c r="D26" i="23" s="1"/>
  <c r="O8" i="25"/>
  <c r="O8" i="24"/>
  <c r="R7" i="23"/>
  <c r="S7" i="23" s="1"/>
  <c r="X24" i="19"/>
  <c r="Y24" i="19" s="1"/>
  <c r="AA24" i="19"/>
  <c r="AB24" i="19" s="1"/>
  <c r="G16" i="10"/>
  <c r="F49" i="8"/>
  <c r="F43" i="8"/>
  <c r="F44" i="8" s="1"/>
  <c r="V22" i="14"/>
  <c r="W22" i="14" s="1"/>
  <c r="F8" i="10"/>
  <c r="F23" i="10" s="1"/>
  <c r="E51" i="8"/>
  <c r="V36" i="8"/>
  <c r="N100" i="9"/>
  <c r="O100" i="9" s="1"/>
  <c r="B133" i="9"/>
  <c r="C133" i="9" s="1"/>
  <c r="O13" i="25"/>
  <c r="O13" i="24"/>
  <c r="R12" i="23"/>
  <c r="S12" i="23" s="1"/>
  <c r="I10" i="10"/>
  <c r="H52" i="8"/>
  <c r="B25" i="25"/>
  <c r="C24" i="23"/>
  <c r="D24" i="23" s="1"/>
  <c r="B25" i="24"/>
  <c r="F14" i="10"/>
  <c r="F17" i="10" s="1"/>
  <c r="V42" i="8"/>
  <c r="F52" i="8"/>
  <c r="G10" i="10"/>
  <c r="G21" i="10" s="1"/>
  <c r="T24" i="10"/>
  <c r="M30" i="10"/>
  <c r="B138" i="9"/>
  <c r="C138" i="9" s="1"/>
  <c r="X30" i="22"/>
  <c r="Y30" i="22" s="1"/>
  <c r="AA30" i="22"/>
  <c r="AB30" i="22" s="1"/>
  <c r="X18" i="19"/>
  <c r="Y18" i="19" s="1"/>
  <c r="AA18" i="19"/>
  <c r="AB18" i="19" s="1"/>
  <c r="U21" i="14"/>
  <c r="O9" i="24"/>
  <c r="O9" i="25"/>
  <c r="R8" i="23"/>
  <c r="S8" i="23" s="1"/>
  <c r="W13" i="15"/>
  <c r="W23" i="19"/>
  <c r="X31" i="20"/>
  <c r="Y31" i="20" s="1"/>
  <c r="AA31" i="20"/>
  <c r="AB31" i="20" s="1"/>
  <c r="K32" i="22" a="1"/>
  <c r="K32" i="22" s="1"/>
  <c r="U12" i="11"/>
  <c r="AA24" i="20"/>
  <c r="AB24" i="20" s="1"/>
  <c r="X24" i="20"/>
  <c r="Y24" i="20" s="1"/>
  <c r="U30" i="10"/>
  <c r="B146" i="9"/>
  <c r="C146" i="9" s="1"/>
  <c r="E195" i="9" s="1"/>
  <c r="D47" i="12" s="1"/>
  <c r="O18" i="24"/>
  <c r="O18" i="25"/>
  <c r="R17" i="23"/>
  <c r="S17" i="23" s="1"/>
  <c r="G8" i="10"/>
  <c r="G23" i="10" s="1"/>
  <c r="F51" i="8"/>
  <c r="U32" i="11"/>
  <c r="AA29" i="22"/>
  <c r="AB29" i="22" s="1"/>
  <c r="X29" i="22"/>
  <c r="Y29" i="22" s="1"/>
  <c r="X26" i="15"/>
  <c r="Y26" i="15" s="1"/>
  <c r="AA26" i="15"/>
  <c r="AB26" i="15" s="1"/>
  <c r="M66" i="9"/>
  <c r="N66" i="9" s="1"/>
  <c r="Y28" i="14"/>
  <c r="Z28" i="14" s="1"/>
  <c r="AA28" i="14" s="1"/>
  <c r="V28" i="14"/>
  <c r="W28" i="14" s="1"/>
  <c r="P53" i="8"/>
  <c r="V37" i="8"/>
  <c r="F9" i="10"/>
  <c r="F22" i="10" s="1"/>
  <c r="U15" i="11"/>
  <c r="O53" i="8"/>
  <c r="P11" i="10"/>
  <c r="P20" i="10" s="1"/>
  <c r="B17" i="24"/>
  <c r="B17" i="25"/>
  <c r="C16" i="23"/>
  <c r="D16" i="23" s="1"/>
  <c r="X13" i="20"/>
  <c r="Y13" i="20" s="1"/>
  <c r="AA13" i="20"/>
  <c r="AB13" i="20" s="1"/>
  <c r="J51" i="8"/>
  <c r="K8" i="10"/>
  <c r="K23" i="10" s="1"/>
  <c r="O27" i="25"/>
  <c r="O27" i="24"/>
  <c r="R26" i="23"/>
  <c r="S26" i="23" s="1"/>
  <c r="K32" i="20" a="1"/>
  <c r="K32" i="20" s="1"/>
  <c r="O20" i="24"/>
  <c r="O20" i="25"/>
  <c r="R19" i="23"/>
  <c r="S19" i="23" s="1"/>
  <c r="W17" i="20"/>
  <c r="X28" i="22"/>
  <c r="Y28" i="22" s="1"/>
  <c r="AA28" i="22"/>
  <c r="AB28" i="22" s="1"/>
  <c r="G53" i="8"/>
  <c r="X19" i="15"/>
  <c r="Y19" i="15" s="1"/>
  <c r="AA19" i="15"/>
  <c r="AB19" i="15" s="1"/>
  <c r="E50" i="8"/>
  <c r="F7" i="10"/>
  <c r="V35" i="8"/>
  <c r="G22" i="10"/>
  <c r="B44" i="8"/>
  <c r="V33" i="8"/>
  <c r="B11" i="24"/>
  <c r="B11" i="25"/>
  <c r="C10" i="23"/>
  <c r="D10" i="23" s="1"/>
  <c r="I8" i="10"/>
  <c r="I23" i="10" s="1"/>
  <c r="H51" i="8"/>
  <c r="W32" i="22"/>
  <c r="X32" i="15"/>
  <c r="Y32" i="15" s="1"/>
  <c r="AA32" i="15"/>
  <c r="AB32" i="15" s="1"/>
  <c r="N110" i="9"/>
  <c r="O110" i="9" s="1"/>
  <c r="Q192" i="9" s="1"/>
  <c r="D20" i="12" s="1"/>
  <c r="R21" i="10"/>
  <c r="C21" i="23"/>
  <c r="D21" i="23" s="1"/>
  <c r="B22" i="25"/>
  <c r="B22" i="24"/>
  <c r="U26" i="11"/>
  <c r="X16" i="22"/>
  <c r="Y16" i="22" s="1"/>
  <c r="AA16" i="22"/>
  <c r="AB16" i="22" s="1"/>
  <c r="W16" i="15"/>
  <c r="X28" i="19"/>
  <c r="Y28" i="19" s="1"/>
  <c r="AA28" i="19"/>
  <c r="AB28" i="19" s="1"/>
  <c r="B15" i="25"/>
  <c r="C14" i="23"/>
  <c r="D14" i="23" s="1"/>
  <c r="B15" i="24"/>
  <c r="U19" i="11"/>
  <c r="F50" i="8"/>
  <c r="G7" i="10"/>
  <c r="W29" i="8"/>
  <c r="W15" i="20"/>
  <c r="X13" i="19"/>
  <c r="Y13" i="19" s="1"/>
  <c r="AA13" i="19"/>
  <c r="AB13" i="19" s="1"/>
  <c r="O10" i="10"/>
  <c r="O21" i="10" s="1"/>
  <c r="N52" i="8"/>
  <c r="V31" i="14"/>
  <c r="W31" i="14" s="1"/>
  <c r="Y31" i="14"/>
  <c r="Z31" i="14" s="1"/>
  <c r="AA31" i="14" s="1"/>
  <c r="B8" i="25"/>
  <c r="B8" i="24"/>
  <c r="P50" i="8"/>
  <c r="Q7" i="10"/>
  <c r="V24" i="14"/>
  <c r="W24" i="14" s="1"/>
  <c r="Y24" i="14"/>
  <c r="Z24" i="14" s="1"/>
  <c r="AA24" i="14" s="1"/>
  <c r="X32" i="19"/>
  <c r="Y32" i="19" s="1"/>
  <c r="AA32" i="19"/>
  <c r="AB32" i="19" s="1"/>
  <c r="S20" i="10"/>
  <c r="X17" i="22"/>
  <c r="Y17" i="22" s="1"/>
  <c r="AA17" i="22"/>
  <c r="AB17" i="22" s="1"/>
  <c r="R43" i="8"/>
  <c r="R44" i="8" s="1"/>
  <c r="R49" i="8"/>
  <c r="S16" i="10"/>
  <c r="N111" i="9" s="1"/>
  <c r="O111" i="9" s="1"/>
  <c r="Q193" i="9" s="1"/>
  <c r="D21" i="12" s="1"/>
  <c r="N53" i="8"/>
  <c r="W26" i="22"/>
  <c r="X27" i="20"/>
  <c r="Y27" i="20" s="1"/>
  <c r="AA27" i="20"/>
  <c r="AB27" i="20" s="1"/>
  <c r="O15" i="24"/>
  <c r="R14" i="23"/>
  <c r="S14" i="23" s="1"/>
  <c r="O15" i="25"/>
  <c r="J16" i="10"/>
  <c r="B135" i="9" s="1"/>
  <c r="C135" i="9" s="1"/>
  <c r="E184" i="9" s="1"/>
  <c r="D36" i="12" s="1"/>
  <c r="I49" i="8"/>
  <c r="I43" i="8"/>
  <c r="I44" i="8" s="1"/>
  <c r="B10" i="25"/>
  <c r="B10" i="24"/>
  <c r="C9" i="23"/>
  <c r="D9" i="23" s="1"/>
  <c r="X14" i="15"/>
  <c r="Y14" i="15" s="1"/>
  <c r="AA14" i="15"/>
  <c r="AB14" i="15" s="1"/>
  <c r="U15" i="14"/>
  <c r="X15" i="15"/>
  <c r="Y15" i="15" s="1"/>
  <c r="AA15" i="15"/>
  <c r="AB15" i="15" s="1"/>
  <c r="V10" i="10"/>
  <c r="U52" i="8"/>
  <c r="L7" i="10"/>
  <c r="K50" i="8"/>
  <c r="O14" i="25"/>
  <c r="O14" i="24"/>
  <c r="R13" i="23"/>
  <c r="S13" i="23" s="1"/>
  <c r="W13" i="22"/>
  <c r="V22" i="10"/>
  <c r="U23" i="14"/>
  <c r="U12" i="14"/>
  <c r="O7" i="10"/>
  <c r="N50" i="8"/>
  <c r="R53" i="8"/>
  <c r="T51" i="8"/>
  <c r="U8" i="10"/>
  <c r="U23" i="10" s="1"/>
  <c r="X26" i="19"/>
  <c r="Y26" i="19" s="1"/>
  <c r="AA26" i="19"/>
  <c r="AB26" i="19" s="1"/>
  <c r="V27" i="14"/>
  <c r="W27" i="14" s="1"/>
  <c r="Y27" i="14"/>
  <c r="Z27" i="14" s="1"/>
  <c r="AA27" i="14" s="1"/>
  <c r="V16" i="11"/>
  <c r="W16" i="11" s="1"/>
  <c r="Y16" i="11"/>
  <c r="Z16" i="11" s="1"/>
  <c r="AA16" i="11" s="1"/>
  <c r="C23" i="23"/>
  <c r="D23" i="23" s="1"/>
  <c r="B24" i="24"/>
  <c r="B24" i="25"/>
  <c r="P24" i="10"/>
  <c r="W19" i="19"/>
  <c r="V25" i="11"/>
  <c r="W25" i="11" s="1"/>
  <c r="Y25" i="11"/>
  <c r="Z25" i="11" s="1"/>
  <c r="AA25" i="11" s="1"/>
  <c r="K10" i="10"/>
  <c r="K21" i="10" s="1"/>
  <c r="J52" i="8"/>
  <c r="V18" i="14"/>
  <c r="W18" i="14" s="1"/>
  <c r="Y18" i="14"/>
  <c r="Z18" i="14" s="1"/>
  <c r="AA18" i="14" s="1"/>
  <c r="Q43" i="8"/>
  <c r="Q44" i="8" s="1"/>
  <c r="R16" i="10"/>
  <c r="B143" i="9" s="1"/>
  <c r="C143" i="9" s="1"/>
  <c r="E192" i="9" s="1"/>
  <c r="D44" i="12" s="1"/>
  <c r="Q49" i="8"/>
  <c r="I50" i="8"/>
  <c r="J7" i="10"/>
  <c r="K32" i="19" a="1"/>
  <c r="K32" i="19" s="1"/>
  <c r="Q22" i="10"/>
  <c r="N109" i="9"/>
  <c r="O109" i="9" s="1"/>
  <c r="Q191" i="9" s="1"/>
  <c r="D19" i="12" s="1"/>
  <c r="H7" i="10"/>
  <c r="G50" i="8"/>
  <c r="M43" i="8"/>
  <c r="M44" i="8" s="1"/>
  <c r="S52" i="8"/>
  <c r="T10" i="10"/>
  <c r="X17" i="19"/>
  <c r="Y17" i="19" s="1"/>
  <c r="AA17" i="19"/>
  <c r="AB17" i="19" s="1"/>
  <c r="H53" i="8"/>
  <c r="I11" i="10"/>
  <c r="I20" i="10" s="1"/>
  <c r="T17" i="10"/>
  <c r="B112" i="9"/>
  <c r="C112" i="9" s="1"/>
  <c r="E194" i="9" s="1"/>
  <c r="D46" i="12" s="1"/>
  <c r="W27" i="15"/>
  <c r="V16" i="14"/>
  <c r="W16" i="14" s="1"/>
  <c r="Y16" i="14"/>
  <c r="Z16" i="14" s="1"/>
  <c r="AA16" i="14" s="1"/>
  <c r="K19" i="10"/>
  <c r="B103" i="9"/>
  <c r="C103" i="9" s="1"/>
  <c r="X20" i="22"/>
  <c r="Y20" i="22" s="1"/>
  <c r="AA20" i="22"/>
  <c r="AB20" i="22" s="1"/>
  <c r="U20" i="11"/>
  <c r="U14" i="11"/>
  <c r="X21" i="20"/>
  <c r="Y21" i="20" s="1"/>
  <c r="AA21" i="20"/>
  <c r="AB21" i="20" s="1"/>
  <c r="V13" i="14"/>
  <c r="W13" i="14" s="1"/>
  <c r="Y13" i="14"/>
  <c r="Z13" i="14" s="1"/>
  <c r="AA13" i="14" s="1"/>
  <c r="X23" i="20"/>
  <c r="Y23" i="20" s="1"/>
  <c r="AA23" i="20"/>
  <c r="AB23" i="20" s="1"/>
  <c r="M11" i="10"/>
  <c r="M20" i="10" s="1"/>
  <c r="L53" i="8"/>
  <c r="W31" i="19"/>
  <c r="W12" i="22"/>
  <c r="O28" i="24"/>
  <c r="O28" i="25"/>
  <c r="X26" i="20"/>
  <c r="Y26" i="20" s="1"/>
  <c r="AA26" i="20"/>
  <c r="AB26" i="20" s="1"/>
  <c r="W16" i="20"/>
  <c r="I51" i="8"/>
  <c r="W20" i="15"/>
  <c r="W14" i="20"/>
  <c r="W15" i="19"/>
  <c r="U25" i="14"/>
  <c r="W25" i="15"/>
  <c r="C90" i="7"/>
  <c r="C91" i="7" s="1"/>
  <c r="D165" i="7"/>
  <c r="Y17" i="11" l="1"/>
  <c r="Z17" i="11" s="1"/>
  <c r="AA17" i="11" s="1"/>
  <c r="Y27" i="11"/>
  <c r="Z27" i="11" s="1"/>
  <c r="AA27" i="11" s="1"/>
  <c r="V13" i="11"/>
  <c r="W13" i="11" s="1"/>
  <c r="AA24" i="22"/>
  <c r="AB24" i="22" s="1"/>
  <c r="AA15" i="22"/>
  <c r="AB15" i="22" s="1"/>
  <c r="Y14" i="14"/>
  <c r="Z14" i="14" s="1"/>
  <c r="AA14" i="14" s="1"/>
  <c r="M65" i="9"/>
  <c r="N65" i="9" s="1"/>
  <c r="E187" i="9"/>
  <c r="D39" i="12" s="1"/>
  <c r="K30" i="10"/>
  <c r="U25" i="10"/>
  <c r="AA18" i="22"/>
  <c r="AB18" i="22" s="1"/>
  <c r="W12" i="19"/>
  <c r="V51" i="8"/>
  <c r="AB52" i="10"/>
  <c r="Y18" i="11"/>
  <c r="Z18" i="11" s="1"/>
  <c r="AA18" i="11" s="1"/>
  <c r="W12" i="20"/>
  <c r="X12" i="20" s="1"/>
  <c r="Y12" i="20" s="1"/>
  <c r="E185" i="9"/>
  <c r="D37" i="12" s="1"/>
  <c r="V12" i="14"/>
  <c r="W12" i="14" s="1"/>
  <c r="Y12" i="14"/>
  <c r="Z12" i="14" s="1"/>
  <c r="V23" i="14"/>
  <c r="W23" i="14" s="1"/>
  <c r="Y23" i="14"/>
  <c r="Z23" i="14" s="1"/>
  <c r="AA23" i="14" s="1"/>
  <c r="S30" i="10"/>
  <c r="B144" i="9"/>
  <c r="C144" i="9" s="1"/>
  <c r="E193" i="9" s="1"/>
  <c r="D45" i="12" s="1"/>
  <c r="X16" i="15"/>
  <c r="Y16" i="15" s="1"/>
  <c r="AA16" i="15"/>
  <c r="AB16" i="15" s="1"/>
  <c r="AA17" i="20"/>
  <c r="AB17" i="20" s="1"/>
  <c r="X17" i="20"/>
  <c r="Y17" i="20" s="1"/>
  <c r="V21" i="14"/>
  <c r="W21" i="14" s="1"/>
  <c r="Y21" i="14"/>
  <c r="Z21" i="14" s="1"/>
  <c r="AA21" i="14" s="1"/>
  <c r="X20" i="19"/>
  <c r="Y20" i="19" s="1"/>
  <c r="AA20" i="19"/>
  <c r="AB20" i="19" s="1"/>
  <c r="V24" i="11"/>
  <c r="W24" i="11" s="1"/>
  <c r="Y24" i="11"/>
  <c r="Z24" i="11" s="1"/>
  <c r="AA24" i="11" s="1"/>
  <c r="X21" i="22"/>
  <c r="Y21" i="22" s="1"/>
  <c r="AA21" i="22"/>
  <c r="AB21" i="22" s="1"/>
  <c r="X32" i="20"/>
  <c r="Y32" i="20" s="1"/>
  <c r="AA32" i="20"/>
  <c r="AB32" i="20" s="1"/>
  <c r="AC23" i="20"/>
  <c r="P19" i="24"/>
  <c r="Q19" i="24" s="1"/>
  <c r="X12" i="22"/>
  <c r="Y12" i="22" s="1"/>
  <c r="AA12" i="22"/>
  <c r="AB12" i="22" s="1"/>
  <c r="B114" i="9"/>
  <c r="C114" i="9" s="1"/>
  <c r="E196" i="9" s="1"/>
  <c r="D48" i="12" s="1"/>
  <c r="AC16" i="22"/>
  <c r="P12" i="25"/>
  <c r="Q12" i="25" s="1"/>
  <c r="AC18" i="19"/>
  <c r="C14" i="25"/>
  <c r="D14" i="25" s="1"/>
  <c r="I21" i="10"/>
  <c r="I25" i="10" s="1"/>
  <c r="M67" i="9"/>
  <c r="N67" i="9" s="1"/>
  <c r="P80" i="9" s="1"/>
  <c r="S28" i="23"/>
  <c r="AC28" i="15"/>
  <c r="C24" i="24"/>
  <c r="D24" i="24" s="1"/>
  <c r="V49" i="8"/>
  <c r="V29" i="11"/>
  <c r="W29" i="11" s="1"/>
  <c r="Y29" i="11"/>
  <c r="Z29" i="11" s="1"/>
  <c r="AA29" i="11" s="1"/>
  <c r="X18" i="20"/>
  <c r="Y18" i="20" s="1"/>
  <c r="AA18" i="20"/>
  <c r="AB18" i="20" s="1"/>
  <c r="X31" i="19"/>
  <c r="Y31" i="19" s="1"/>
  <c r="AA31" i="19"/>
  <c r="AB31" i="19" s="1"/>
  <c r="N102" i="9"/>
  <c r="O102" i="9" s="1"/>
  <c r="Q184" i="9" s="1"/>
  <c r="D12" i="12" s="1"/>
  <c r="AB51" i="10"/>
  <c r="J24" i="10"/>
  <c r="J25" i="10" s="1"/>
  <c r="AB37" i="10"/>
  <c r="V15" i="11"/>
  <c r="W15" i="11" s="1"/>
  <c r="Y15" i="11"/>
  <c r="Z15" i="11" s="1"/>
  <c r="AA15" i="11" s="1"/>
  <c r="W12" i="15"/>
  <c r="AC19" i="22"/>
  <c r="P15" i="25"/>
  <c r="Q15" i="25" s="1"/>
  <c r="X27" i="15"/>
  <c r="Y27" i="15" s="1"/>
  <c r="AA27" i="15"/>
  <c r="AB27" i="15" s="1"/>
  <c r="AC17" i="22"/>
  <c r="P13" i="25"/>
  <c r="Q13" i="25" s="1"/>
  <c r="V26" i="11"/>
  <c r="W26" i="11" s="1"/>
  <c r="Y26" i="11"/>
  <c r="Z26" i="11" s="1"/>
  <c r="AA26" i="11" s="1"/>
  <c r="P26" i="25"/>
  <c r="Q26" i="25" s="1"/>
  <c r="AC30" i="22"/>
  <c r="P25" i="24"/>
  <c r="Q25" i="24" s="1"/>
  <c r="AC29" i="20"/>
  <c r="S24" i="10"/>
  <c r="S25" i="10" s="1"/>
  <c r="N106" i="9"/>
  <c r="O106" i="9" s="1"/>
  <c r="Q188" i="9" s="1"/>
  <c r="D16" i="12" s="1"/>
  <c r="X29" i="15"/>
  <c r="Y29" i="15" s="1"/>
  <c r="AA29" i="15"/>
  <c r="AB29" i="15" s="1"/>
  <c r="X13" i="22"/>
  <c r="Y13" i="22" s="1"/>
  <c r="AA13" i="22"/>
  <c r="AB13" i="22" s="1"/>
  <c r="C9" i="25"/>
  <c r="D9" i="25" s="1"/>
  <c r="AC13" i="19"/>
  <c r="AB39" i="10"/>
  <c r="B66" i="9" s="1"/>
  <c r="C66" i="9" s="1"/>
  <c r="R25" i="10"/>
  <c r="V43" i="8"/>
  <c r="V44" i="8" s="1"/>
  <c r="V52" i="8"/>
  <c r="C19" i="24"/>
  <c r="D19" i="24" s="1"/>
  <c r="AC23" i="15"/>
  <c r="P24" i="24"/>
  <c r="Q24" i="24" s="1"/>
  <c r="AC28" i="20"/>
  <c r="N25" i="10"/>
  <c r="N105" i="9"/>
  <c r="O105" i="9" s="1"/>
  <c r="Q187" i="9" s="1"/>
  <c r="D15" i="12" s="1"/>
  <c r="D28" i="23"/>
  <c r="X30" i="15"/>
  <c r="Y30" i="15" s="1"/>
  <c r="AA30" i="15"/>
  <c r="AB30" i="15" s="1"/>
  <c r="M41" i="9"/>
  <c r="N41" i="9" s="1"/>
  <c r="V22" i="11"/>
  <c r="W22" i="11" s="1"/>
  <c r="Y22" i="11"/>
  <c r="Z22" i="11" s="1"/>
  <c r="AA22" i="11" s="1"/>
  <c r="M25" i="10"/>
  <c r="P14" i="25"/>
  <c r="Q14" i="25" s="1"/>
  <c r="AC18" i="22"/>
  <c r="X15" i="20"/>
  <c r="Y15" i="20" s="1"/>
  <c r="AA15" i="20"/>
  <c r="AB15" i="20" s="1"/>
  <c r="P20" i="24"/>
  <c r="Q20" i="24" s="1"/>
  <c r="AC24" i="20"/>
  <c r="V17" i="14"/>
  <c r="W17" i="14" s="1"/>
  <c r="Y17" i="14"/>
  <c r="Z17" i="14" s="1"/>
  <c r="AA17" i="14" s="1"/>
  <c r="C21" i="25"/>
  <c r="D21" i="25" s="1"/>
  <c r="AC25" i="19"/>
  <c r="X24" i="15"/>
  <c r="Y24" i="15" s="1"/>
  <c r="AA24" i="15"/>
  <c r="AB24" i="15" s="1"/>
  <c r="V25" i="14"/>
  <c r="W25" i="14" s="1"/>
  <c r="Y25" i="14"/>
  <c r="Z25" i="14" s="1"/>
  <c r="AA25" i="14" s="1"/>
  <c r="X15" i="19"/>
  <c r="Y15" i="19" s="1"/>
  <c r="AA15" i="19"/>
  <c r="AB15" i="19" s="1"/>
  <c r="C22" i="25"/>
  <c r="D22" i="25" s="1"/>
  <c r="AC26" i="19"/>
  <c r="C28" i="25"/>
  <c r="D28" i="25" s="1"/>
  <c r="AC32" i="19"/>
  <c r="AB53" i="10"/>
  <c r="V12" i="11"/>
  <c r="W12" i="11" s="1"/>
  <c r="Y12" i="11"/>
  <c r="Z12" i="11" s="1"/>
  <c r="Q30" i="10"/>
  <c r="P23" i="10"/>
  <c r="P25" i="10" s="1"/>
  <c r="N108" i="9"/>
  <c r="O108" i="9" s="1"/>
  <c r="Q190" i="9" s="1"/>
  <c r="D18" i="12" s="1"/>
  <c r="P20" i="25"/>
  <c r="Q20" i="25" s="1"/>
  <c r="AC24" i="22"/>
  <c r="V26" i="14"/>
  <c r="W26" i="14" s="1"/>
  <c r="Y26" i="14"/>
  <c r="Z26" i="14" s="1"/>
  <c r="AA26" i="14" s="1"/>
  <c r="AC21" i="15"/>
  <c r="C17" i="24"/>
  <c r="D17" i="24" s="1"/>
  <c r="AC14" i="22"/>
  <c r="P10" i="25"/>
  <c r="Q10" i="25" s="1"/>
  <c r="X29" i="19"/>
  <c r="Y29" i="19" s="1"/>
  <c r="AA29" i="19"/>
  <c r="AB29" i="19" s="1"/>
  <c r="X22" i="15"/>
  <c r="Y22" i="15" s="1"/>
  <c r="AA22" i="15"/>
  <c r="AB22" i="15" s="1"/>
  <c r="X25" i="15"/>
  <c r="Y25" i="15" s="1"/>
  <c r="AA25" i="15"/>
  <c r="AB25" i="15" s="1"/>
  <c r="X14" i="20"/>
  <c r="Y14" i="20" s="1"/>
  <c r="AA14" i="20"/>
  <c r="AB14" i="20" s="1"/>
  <c r="C13" i="25"/>
  <c r="D13" i="25" s="1"/>
  <c r="AC17" i="19"/>
  <c r="G24" i="10"/>
  <c r="G25" i="10" s="1"/>
  <c r="AB38" i="10"/>
  <c r="B37" i="9" s="1"/>
  <c r="M39" i="9"/>
  <c r="N39" i="9" s="1"/>
  <c r="X20" i="15"/>
  <c r="Y20" i="15" s="1"/>
  <c r="AA20" i="15"/>
  <c r="AB20" i="15" s="1"/>
  <c r="AC21" i="20"/>
  <c r="P17" i="24"/>
  <c r="Q17" i="24" s="1"/>
  <c r="AC32" i="15"/>
  <c r="C28" i="24"/>
  <c r="D28" i="24" s="1"/>
  <c r="P27" i="24"/>
  <c r="Q27" i="24" s="1"/>
  <c r="AC31" i="20"/>
  <c r="AC31" i="15"/>
  <c r="C27" i="24"/>
  <c r="D27" i="24" s="1"/>
  <c r="X17" i="15"/>
  <c r="Y17" i="15" s="1"/>
  <c r="AA17" i="15"/>
  <c r="AB17" i="15" s="1"/>
  <c r="I30" i="10"/>
  <c r="B134" i="9"/>
  <c r="C134" i="9" s="1"/>
  <c r="V53" i="8"/>
  <c r="L24" i="10"/>
  <c r="L25" i="10" s="1"/>
  <c r="N104" i="9"/>
  <c r="O104" i="9" s="1"/>
  <c r="Q186" i="9" s="1"/>
  <c r="D14" i="12" s="1"/>
  <c r="F24" i="10"/>
  <c r="F25" i="10" s="1"/>
  <c r="AB55" i="10"/>
  <c r="AB41" i="10"/>
  <c r="AC26" i="15"/>
  <c r="C22" i="24"/>
  <c r="D22" i="24" s="1"/>
  <c r="T21" i="10"/>
  <c r="T25" i="10" s="1"/>
  <c r="N112" i="9"/>
  <c r="O112" i="9" s="1"/>
  <c r="Q194" i="9" s="1"/>
  <c r="D22" i="12" s="1"/>
  <c r="V19" i="11"/>
  <c r="W19" i="11" s="1"/>
  <c r="Y19" i="11"/>
  <c r="Z19" i="11" s="1"/>
  <c r="AA19" i="11" s="1"/>
  <c r="V50" i="8"/>
  <c r="X22" i="19"/>
  <c r="Y22" i="19" s="1"/>
  <c r="AA22" i="19"/>
  <c r="AB22" i="19" s="1"/>
  <c r="X14" i="19"/>
  <c r="Y14" i="19" s="1"/>
  <c r="AA14" i="19"/>
  <c r="AB14" i="19" s="1"/>
  <c r="V21" i="10"/>
  <c r="N114" i="9"/>
  <c r="O114" i="9" s="1"/>
  <c r="Q196" i="9" s="1"/>
  <c r="D24" i="12" s="1"/>
  <c r="AA32" i="22"/>
  <c r="AB32" i="22" s="1"/>
  <c r="X32" i="22"/>
  <c r="Y32" i="22" s="1"/>
  <c r="C15" i="24"/>
  <c r="D15" i="24" s="1"/>
  <c r="AC19" i="15"/>
  <c r="P9" i="24"/>
  <c r="Q9" i="24" s="1"/>
  <c r="AC13" i="20"/>
  <c r="X23" i="19"/>
  <c r="Y23" i="19" s="1"/>
  <c r="AA23" i="19"/>
  <c r="AB23" i="19" s="1"/>
  <c r="V31" i="11"/>
  <c r="W31" i="11" s="1"/>
  <c r="Y31" i="11"/>
  <c r="Z31" i="11" s="1"/>
  <c r="AA31" i="11" s="1"/>
  <c r="V30" i="11"/>
  <c r="W30" i="11" s="1"/>
  <c r="Y30" i="11"/>
  <c r="Z30" i="11" s="1"/>
  <c r="AA30" i="11" s="1"/>
  <c r="X22" i="22"/>
  <c r="Y22" i="22" s="1"/>
  <c r="AA22" i="22"/>
  <c r="AB22" i="22" s="1"/>
  <c r="X20" i="20"/>
  <c r="Y20" i="20" s="1"/>
  <c r="AA20" i="20"/>
  <c r="AB20" i="20" s="1"/>
  <c r="X16" i="20"/>
  <c r="Y16" i="20" s="1"/>
  <c r="AA16" i="20"/>
  <c r="AB16" i="20" s="1"/>
  <c r="C11" i="24"/>
  <c r="D11" i="24" s="1"/>
  <c r="AC15" i="15"/>
  <c r="AC27" i="20"/>
  <c r="P23" i="24"/>
  <c r="Q23" i="24" s="1"/>
  <c r="Q24" i="10"/>
  <c r="Q25" i="10" s="1"/>
  <c r="X12" i="19"/>
  <c r="Y12" i="19" s="1"/>
  <c r="AA12" i="19"/>
  <c r="AB12" i="19" s="1"/>
  <c r="P25" i="25"/>
  <c r="Q25" i="25" s="1"/>
  <c r="AC29" i="22"/>
  <c r="X13" i="15"/>
  <c r="Y13" i="15" s="1"/>
  <c r="AA13" i="15"/>
  <c r="AB13" i="15" s="1"/>
  <c r="X31" i="22"/>
  <c r="Y31" i="22" s="1"/>
  <c r="AA31" i="22"/>
  <c r="AB31" i="22" s="1"/>
  <c r="AC25" i="20"/>
  <c r="P21" i="24"/>
  <c r="Q21" i="24" s="1"/>
  <c r="V19" i="14"/>
  <c r="W19" i="14" s="1"/>
  <c r="Y19" i="14"/>
  <c r="Z19" i="14" s="1"/>
  <c r="AA19" i="14" s="1"/>
  <c r="X19" i="20"/>
  <c r="Y19" i="20" s="1"/>
  <c r="AA19" i="20"/>
  <c r="AB19" i="20" s="1"/>
  <c r="V14" i="11"/>
  <c r="W14" i="11" s="1"/>
  <c r="Y14" i="11"/>
  <c r="Z14" i="11" s="1"/>
  <c r="AA14" i="11" s="1"/>
  <c r="V20" i="11"/>
  <c r="W20" i="11" s="1"/>
  <c r="Y20" i="11"/>
  <c r="Z20" i="11" s="1"/>
  <c r="AA20" i="11" s="1"/>
  <c r="P22" i="24"/>
  <c r="Q22" i="24" s="1"/>
  <c r="AC26" i="20"/>
  <c r="AC20" i="22"/>
  <c r="P16" i="25"/>
  <c r="Q16" i="25" s="1"/>
  <c r="X19" i="19"/>
  <c r="Y19" i="19" s="1"/>
  <c r="AA19" i="19"/>
  <c r="AB19" i="19" s="1"/>
  <c r="V32" i="11"/>
  <c r="W32" i="11" s="1"/>
  <c r="Y32" i="11"/>
  <c r="Z32" i="11" s="1"/>
  <c r="AA32" i="11" s="1"/>
  <c r="AA22" i="20"/>
  <c r="AB22" i="20" s="1"/>
  <c r="X22" i="20"/>
  <c r="Y22" i="20" s="1"/>
  <c r="C14" i="24"/>
  <c r="D14" i="24" s="1"/>
  <c r="AC18" i="15"/>
  <c r="X23" i="22"/>
  <c r="Y23" i="22" s="1"/>
  <c r="AA23" i="22"/>
  <c r="AB23" i="22" s="1"/>
  <c r="P21" i="25"/>
  <c r="Q21" i="25" s="1"/>
  <c r="AC25" i="22"/>
  <c r="C12" i="25"/>
  <c r="D12" i="25" s="1"/>
  <c r="AC16" i="19"/>
  <c r="X27" i="22"/>
  <c r="Y27" i="22" s="1"/>
  <c r="AA27" i="22"/>
  <c r="AB27" i="22" s="1"/>
  <c r="H24" i="10"/>
  <c r="H25" i="10" s="1"/>
  <c r="M40" i="9"/>
  <c r="N40" i="9" s="1"/>
  <c r="E182" i="9" s="1"/>
  <c r="D34" i="12" s="1"/>
  <c r="O24" i="10"/>
  <c r="O25" i="10" s="1"/>
  <c r="N107" i="9"/>
  <c r="O107" i="9" s="1"/>
  <c r="Q189" i="9" s="1"/>
  <c r="D17" i="12" s="1"/>
  <c r="V15" i="14"/>
  <c r="W15" i="14" s="1"/>
  <c r="Y15" i="14"/>
  <c r="Z15" i="14" s="1"/>
  <c r="AA15" i="14" s="1"/>
  <c r="X26" i="22"/>
  <c r="Y26" i="22" s="1"/>
  <c r="AA26" i="22"/>
  <c r="AB26" i="22" s="1"/>
  <c r="AC28" i="19"/>
  <c r="C24" i="25"/>
  <c r="D24" i="25" s="1"/>
  <c r="AC28" i="22"/>
  <c r="P24" i="25"/>
  <c r="Q24" i="25" s="1"/>
  <c r="G30" i="10"/>
  <c r="N99" i="9"/>
  <c r="O99" i="9" s="1"/>
  <c r="AB36" i="10"/>
  <c r="B121" i="9" s="1"/>
  <c r="B132" i="9"/>
  <c r="C132" i="9" s="1"/>
  <c r="X21" i="19"/>
  <c r="Y21" i="19" s="1"/>
  <c r="AA21" i="19"/>
  <c r="AB21" i="19" s="1"/>
  <c r="V23" i="11"/>
  <c r="W23" i="11" s="1"/>
  <c r="Y23" i="11"/>
  <c r="Z23" i="11" s="1"/>
  <c r="AA23" i="11" s="1"/>
  <c r="AC15" i="22"/>
  <c r="P11" i="25"/>
  <c r="Q11" i="25" s="1"/>
  <c r="K25" i="10"/>
  <c r="AC14" i="15"/>
  <c r="C10" i="24"/>
  <c r="D10" i="24" s="1"/>
  <c r="AC24" i="19"/>
  <c r="C20" i="25"/>
  <c r="D20" i="25" s="1"/>
  <c r="C28" i="10" a="1"/>
  <c r="E44" i="8"/>
  <c r="X30" i="19"/>
  <c r="Y30" i="19" s="1"/>
  <c r="AA30" i="19"/>
  <c r="AB30" i="19" s="1"/>
  <c r="V21" i="11"/>
  <c r="W21" i="11" s="1"/>
  <c r="Y21" i="11"/>
  <c r="Z21" i="11" s="1"/>
  <c r="AA21" i="11" s="1"/>
  <c r="AC30" i="20"/>
  <c r="P26" i="24"/>
  <c r="Q26" i="24" s="1"/>
  <c r="AC27" i="19"/>
  <c r="C23" i="25"/>
  <c r="D23" i="25" s="1"/>
  <c r="N103" i="9"/>
  <c r="O103" i="9" s="1"/>
  <c r="Q185" i="9" s="1"/>
  <c r="D13" i="12" s="1"/>
  <c r="F83" i="7"/>
  <c r="F82" i="7"/>
  <c r="I82" i="7" s="1"/>
  <c r="C94" i="7"/>
  <c r="F84" i="7"/>
  <c r="I101" i="7" s="1"/>
  <c r="AA12" i="20" l="1"/>
  <c r="AB12" i="20" s="1"/>
  <c r="E183" i="9"/>
  <c r="D35" i="12" s="1"/>
  <c r="AB54" i="10"/>
  <c r="Q182" i="9"/>
  <c r="D10" i="12" s="1"/>
  <c r="X6" i="10"/>
  <c r="P54" i="9"/>
  <c r="B178" i="9" s="1"/>
  <c r="AC13" i="15"/>
  <c r="C9" i="24"/>
  <c r="D9" i="24" s="1"/>
  <c r="P18" i="25"/>
  <c r="Q18" i="25" s="1"/>
  <c r="AC22" i="22"/>
  <c r="AB40" i="10"/>
  <c r="C25" i="25"/>
  <c r="D25" i="25" s="1"/>
  <c r="AC29" i="19"/>
  <c r="N179" i="9"/>
  <c r="B179" i="9"/>
  <c r="C10" i="25"/>
  <c r="D10" i="25" s="1"/>
  <c r="AC14" i="19"/>
  <c r="AC29" i="15"/>
  <c r="C25" i="24"/>
  <c r="D25" i="24" s="1"/>
  <c r="P13" i="24"/>
  <c r="Q13" i="24" s="1"/>
  <c r="AC17" i="20"/>
  <c r="C16" i="24"/>
  <c r="D16" i="24" s="1"/>
  <c r="AC20" i="15"/>
  <c r="AC27" i="15"/>
  <c r="C23" i="24"/>
  <c r="D23" i="24" s="1"/>
  <c r="P14" i="24"/>
  <c r="Q14" i="24" s="1"/>
  <c r="AC18" i="20"/>
  <c r="P8" i="25"/>
  <c r="Q8" i="25" s="1"/>
  <c r="AC12" i="22"/>
  <c r="P13" i="22"/>
  <c r="AC16" i="15"/>
  <c r="C12" i="24"/>
  <c r="D12" i="24" s="1"/>
  <c r="AC12" i="19"/>
  <c r="C8" i="25"/>
  <c r="D8" i="25" s="1"/>
  <c r="E9" i="25" s="1"/>
  <c r="P13" i="19"/>
  <c r="AC22" i="19"/>
  <c r="C18" i="25"/>
  <c r="D18" i="25" s="1"/>
  <c r="N178" i="9"/>
  <c r="AC15" i="20"/>
  <c r="P11" i="24"/>
  <c r="Q11" i="24" s="1"/>
  <c r="C37" i="9"/>
  <c r="C36" i="9"/>
  <c r="AC26" i="22"/>
  <c r="P22" i="25"/>
  <c r="Q22" i="25" s="1"/>
  <c r="AC19" i="20"/>
  <c r="P15" i="24"/>
  <c r="Q15" i="24" s="1"/>
  <c r="C19" i="25"/>
  <c r="D19" i="25" s="1"/>
  <c r="AC23" i="19"/>
  <c r="C11" i="25"/>
  <c r="D11" i="25" s="1"/>
  <c r="AC15" i="19"/>
  <c r="X12" i="15"/>
  <c r="Y12" i="15" s="1"/>
  <c r="AA12" i="15"/>
  <c r="AB12" i="15" s="1"/>
  <c r="P28" i="24"/>
  <c r="Q28" i="24" s="1"/>
  <c r="AC32" i="20"/>
  <c r="C13" i="24"/>
  <c r="D13" i="24" s="1"/>
  <c r="AC17" i="15"/>
  <c r="AC12" i="20"/>
  <c r="P8" i="24"/>
  <c r="Q8" i="24" s="1"/>
  <c r="R9" i="24" s="1"/>
  <c r="P13" i="20"/>
  <c r="P17" i="25"/>
  <c r="Q17" i="25" s="1"/>
  <c r="AC21" i="22"/>
  <c r="AA12" i="14"/>
  <c r="N19" i="14" s="1"/>
  <c r="N13" i="14"/>
  <c r="AC23" i="22"/>
  <c r="P19" i="25"/>
  <c r="Q19" i="25" s="1"/>
  <c r="AC22" i="20"/>
  <c r="P18" i="24"/>
  <c r="Q18" i="24" s="1"/>
  <c r="P10" i="24"/>
  <c r="Q10" i="24" s="1"/>
  <c r="AC14" i="20"/>
  <c r="C26" i="25"/>
  <c r="D26" i="25" s="1"/>
  <c r="AC30" i="19"/>
  <c r="AC24" i="15"/>
  <c r="C20" i="24"/>
  <c r="D20" i="24" s="1"/>
  <c r="Q183" i="9"/>
  <c r="D11" i="12" s="1"/>
  <c r="E114" i="9"/>
  <c r="B180" i="9" s="1"/>
  <c r="AC21" i="19"/>
  <c r="C17" i="25"/>
  <c r="D17" i="25" s="1"/>
  <c r="AC19" i="19"/>
  <c r="C15" i="25"/>
  <c r="D15" i="25" s="1"/>
  <c r="P12" i="24"/>
  <c r="Q12" i="24" s="1"/>
  <c r="AC16" i="20"/>
  <c r="AC25" i="15"/>
  <c r="C21" i="24"/>
  <c r="D21" i="24" s="1"/>
  <c r="C26" i="24"/>
  <c r="D26" i="24" s="1"/>
  <c r="AC30" i="15"/>
  <c r="AC20" i="19"/>
  <c r="C16" i="25"/>
  <c r="D16" i="25" s="1"/>
  <c r="I29" i="10"/>
  <c r="C28" i="10"/>
  <c r="C29" i="10" s="1"/>
  <c r="V29" i="10"/>
  <c r="O29" i="10"/>
  <c r="D29" i="10"/>
  <c r="G29" i="10"/>
  <c r="M29" i="10"/>
  <c r="F29" i="10"/>
  <c r="U29" i="10"/>
  <c r="J29" i="10"/>
  <c r="E29" i="10"/>
  <c r="L29" i="10"/>
  <c r="K29" i="10"/>
  <c r="H29" i="10"/>
  <c r="Q29" i="10"/>
  <c r="S29" i="10"/>
  <c r="R29" i="10"/>
  <c r="T29" i="10"/>
  <c r="N29" i="10"/>
  <c r="P29" i="10"/>
  <c r="E147" i="9"/>
  <c r="B181" i="9" s="1"/>
  <c r="E181" i="9"/>
  <c r="P27" i="25"/>
  <c r="Q27" i="25" s="1"/>
  <c r="AC31" i="22"/>
  <c r="P28" i="25"/>
  <c r="Q28" i="25" s="1"/>
  <c r="AC32" i="22"/>
  <c r="V25" i="10"/>
  <c r="P23" i="25"/>
  <c r="Q23" i="25" s="1"/>
  <c r="AC27" i="22"/>
  <c r="AC20" i="20"/>
  <c r="P16" i="24"/>
  <c r="Q16" i="24" s="1"/>
  <c r="AC22" i="15"/>
  <c r="C18" i="24"/>
  <c r="D18" i="24" s="1"/>
  <c r="P9" i="25"/>
  <c r="Q9" i="25" s="1"/>
  <c r="AC13" i="22"/>
  <c r="Q114" i="9"/>
  <c r="N180" i="9" s="1"/>
  <c r="Q181" i="9"/>
  <c r="AA12" i="11"/>
  <c r="N19" i="11" s="1"/>
  <c r="N13" i="11"/>
  <c r="C27" i="25"/>
  <c r="D27" i="25" s="1"/>
  <c r="AC31" i="19"/>
  <c r="E145" i="7"/>
  <c r="E164" i="7"/>
  <c r="I90" i="7"/>
  <c r="F86" i="7"/>
  <c r="I100" i="7" s="1"/>
  <c r="F85" i="7"/>
  <c r="I83" i="7" s="1"/>
  <c r="P19" i="19" l="1"/>
  <c r="F9" i="25"/>
  <c r="J9" i="25" s="1"/>
  <c r="G9" i="25"/>
  <c r="T9" i="24"/>
  <c r="S9" i="24"/>
  <c r="W9" i="24" s="1"/>
  <c r="P19" i="20"/>
  <c r="E10" i="25"/>
  <c r="P19" i="22"/>
  <c r="R10" i="24"/>
  <c r="B182" i="9"/>
  <c r="D9" i="12"/>
  <c r="S196" i="9"/>
  <c r="N182" i="9"/>
  <c r="AC12" i="15"/>
  <c r="P19" i="15" s="1"/>
  <c r="C8" i="24"/>
  <c r="D8" i="24" s="1"/>
  <c r="E9" i="24" s="1"/>
  <c r="P13" i="15"/>
  <c r="D33" i="12"/>
  <c r="G196" i="9"/>
  <c r="R9" i="25"/>
  <c r="E146" i="7"/>
  <c r="I84" i="7"/>
  <c r="I99" i="7"/>
  <c r="E163" i="7"/>
  <c r="E153" i="7"/>
  <c r="I91" i="7"/>
  <c r="T9" i="25" l="1"/>
  <c r="S9" i="25"/>
  <c r="W9" i="25" s="1"/>
  <c r="R10" i="25"/>
  <c r="E10" i="24"/>
  <c r="F9" i="24"/>
  <c r="J9" i="24" s="1"/>
  <c r="G9" i="24"/>
  <c r="T10" i="24"/>
  <c r="S10" i="24"/>
  <c r="W10" i="24" s="1"/>
  <c r="E11" i="25"/>
  <c r="F10" i="25"/>
  <c r="J10" i="25" s="1"/>
  <c r="G10" i="25"/>
  <c r="R11" i="24"/>
  <c r="E162" i="7"/>
  <c r="I98" i="7"/>
  <c r="I85" i="7"/>
  <c r="E147" i="7"/>
  <c r="E154" i="7"/>
  <c r="I92" i="7"/>
  <c r="T10" i="25" l="1"/>
  <c r="S10" i="25"/>
  <c r="W10" i="25" s="1"/>
  <c r="R11" i="25"/>
  <c r="E12" i="25"/>
  <c r="G11" i="25"/>
  <c r="F11" i="25"/>
  <c r="J11" i="25" s="1"/>
  <c r="T11" i="24"/>
  <c r="S11" i="24"/>
  <c r="W11" i="24" s="1"/>
  <c r="R12" i="24"/>
  <c r="G10" i="24"/>
  <c r="F10" i="24"/>
  <c r="J10" i="24" s="1"/>
  <c r="E11" i="24"/>
  <c r="E155" i="7"/>
  <c r="I93" i="7"/>
  <c r="E148" i="7"/>
  <c r="I86" i="7"/>
  <c r="I97" i="7"/>
  <c r="E161" i="7"/>
  <c r="R12" i="25" l="1"/>
  <c r="T11" i="25"/>
  <c r="S11" i="25"/>
  <c r="W11" i="25" s="1"/>
  <c r="G12" i="25"/>
  <c r="F12" i="25"/>
  <c r="J12" i="25" s="1"/>
  <c r="E13" i="25"/>
  <c r="G11" i="24"/>
  <c r="F11" i="24"/>
  <c r="E12" i="24"/>
  <c r="T12" i="24"/>
  <c r="S12" i="24"/>
  <c r="W12" i="24" s="1"/>
  <c r="R13" i="24"/>
  <c r="I94" i="7"/>
  <c r="E156" i="7"/>
  <c r="I96" i="7"/>
  <c r="E159" i="7" s="1"/>
  <c r="E160" i="7"/>
  <c r="E149" i="7"/>
  <c r="I87" i="7"/>
  <c r="R14" i="24" l="1"/>
  <c r="S13" i="24"/>
  <c r="W13" i="24" s="1"/>
  <c r="T13" i="24"/>
  <c r="F12" i="24"/>
  <c r="J12" i="24" s="1"/>
  <c r="J11" i="24"/>
  <c r="G13" i="25"/>
  <c r="F13" i="25"/>
  <c r="J13" i="25" s="1"/>
  <c r="E14" i="25"/>
  <c r="G12" i="24"/>
  <c r="E13" i="24"/>
  <c r="T12" i="25"/>
  <c r="S12" i="25"/>
  <c r="W12" i="25" s="1"/>
  <c r="R13" i="25"/>
  <c r="I95" i="7"/>
  <c r="E158" i="7" s="1"/>
  <c r="E157" i="7"/>
  <c r="I88" i="7"/>
  <c r="E150" i="7"/>
  <c r="F13" i="24" l="1"/>
  <c r="J13" i="24" s="1"/>
  <c r="G13" i="24"/>
  <c r="E14" i="24"/>
  <c r="G14" i="25"/>
  <c r="F14" i="25"/>
  <c r="J14" i="25" s="1"/>
  <c r="E15" i="25"/>
  <c r="T13" i="25"/>
  <c r="S13" i="25"/>
  <c r="W13" i="25" s="1"/>
  <c r="R14" i="25"/>
  <c r="R15" i="24"/>
  <c r="T14" i="24"/>
  <c r="S14" i="24"/>
  <c r="W14" i="24" s="1"/>
  <c r="I89" i="7"/>
  <c r="E151" i="7"/>
  <c r="T14" i="25" l="1"/>
  <c r="S14" i="25"/>
  <c r="W14" i="25" s="1"/>
  <c r="R15" i="25"/>
  <c r="T15" i="24"/>
  <c r="S15" i="24"/>
  <c r="W15" i="24" s="1"/>
  <c r="R16" i="24"/>
  <c r="G14" i="24"/>
  <c r="F14" i="24"/>
  <c r="J14" i="24" s="1"/>
  <c r="E15" i="24"/>
  <c r="G15" i="25"/>
  <c r="F15" i="25"/>
  <c r="J15" i="25" s="1"/>
  <c r="E16" i="25"/>
  <c r="E152" i="7"/>
  <c r="I102" i="7"/>
  <c r="G16" i="25" l="1"/>
  <c r="F16" i="25"/>
  <c r="J16" i="25" s="1"/>
  <c r="E17" i="25"/>
  <c r="G15" i="24"/>
  <c r="F15" i="24"/>
  <c r="J15" i="24" s="1"/>
  <c r="E16" i="24"/>
  <c r="T15" i="25"/>
  <c r="S15" i="25"/>
  <c r="W15" i="25" s="1"/>
  <c r="R16" i="25"/>
  <c r="T16" i="24"/>
  <c r="S16" i="24"/>
  <c r="W16" i="24" s="1"/>
  <c r="R17" i="24"/>
  <c r="C109" i="7"/>
  <c r="I103" i="7"/>
  <c r="I104" i="7" s="1"/>
  <c r="E165" i="7"/>
  <c r="T17" i="24" l="1"/>
  <c r="S17" i="24"/>
  <c r="W17" i="24" s="1"/>
  <c r="R18" i="24"/>
  <c r="T16" i="25"/>
  <c r="S16" i="25"/>
  <c r="W16" i="25" s="1"/>
  <c r="R17" i="25"/>
  <c r="F16" i="24"/>
  <c r="J16" i="24" s="1"/>
  <c r="G16" i="24"/>
  <c r="E17" i="24"/>
  <c r="G17" i="25"/>
  <c r="F17" i="25"/>
  <c r="J17" i="25" s="1"/>
  <c r="E18" i="25"/>
  <c r="C113" i="7"/>
  <c r="F109" i="7" s="1"/>
  <c r="C112" i="7"/>
  <c r="W117" i="7" s="1"/>
  <c r="W137" i="7" s="1"/>
  <c r="C111" i="7"/>
  <c r="C114" i="7"/>
  <c r="Y136" i="7" s="1"/>
  <c r="Y137" i="7" s="1"/>
  <c r="G18" i="25" l="1"/>
  <c r="F18" i="25"/>
  <c r="J18" i="25" s="1"/>
  <c r="E19" i="25"/>
  <c r="T18" i="24"/>
  <c r="S18" i="24"/>
  <c r="W18" i="24" s="1"/>
  <c r="R19" i="24"/>
  <c r="G17" i="24"/>
  <c r="F17" i="24"/>
  <c r="J17" i="24" s="1"/>
  <c r="E18" i="24"/>
  <c r="T17" i="25"/>
  <c r="S17" i="25"/>
  <c r="W17" i="25" s="1"/>
  <c r="R18" i="25"/>
  <c r="V119" i="7"/>
  <c r="V133" i="7"/>
  <c r="V129" i="7"/>
  <c r="V125" i="7"/>
  <c r="V136" i="7"/>
  <c r="V121" i="7"/>
  <c r="V132" i="7"/>
  <c r="V128" i="7"/>
  <c r="V124" i="7"/>
  <c r="V118" i="7"/>
  <c r="V135" i="7"/>
  <c r="V131" i="7"/>
  <c r="V127" i="7"/>
  <c r="V123" i="7"/>
  <c r="V120" i="7"/>
  <c r="V117" i="7"/>
  <c r="V134" i="7"/>
  <c r="V130" i="7"/>
  <c r="V126" i="7"/>
  <c r="V122" i="7"/>
  <c r="C115" i="7"/>
  <c r="F113" i="7"/>
  <c r="R112" i="7" s="1"/>
  <c r="X121" i="7" s="1"/>
  <c r="F112" i="7"/>
  <c r="F108" i="7"/>
  <c r="F110" i="7" s="1"/>
  <c r="F111" i="7"/>
  <c r="G18" i="24" l="1"/>
  <c r="F18" i="24"/>
  <c r="J18" i="24" s="1"/>
  <c r="E19" i="24"/>
  <c r="G19" i="25"/>
  <c r="F19" i="25"/>
  <c r="J19" i="25" s="1"/>
  <c r="E20" i="25"/>
  <c r="T18" i="25"/>
  <c r="S18" i="25"/>
  <c r="W18" i="25" s="1"/>
  <c r="R19" i="25"/>
  <c r="T19" i="24"/>
  <c r="S19" i="24"/>
  <c r="W19" i="24" s="1"/>
  <c r="R20" i="24"/>
  <c r="X111" i="7"/>
  <c r="Z127" i="7"/>
  <c r="C127" i="7"/>
  <c r="F155" i="7" s="1"/>
  <c r="G155" i="7" s="1"/>
  <c r="O107" i="7"/>
  <c r="I107" i="7"/>
  <c r="L107" i="7" s="1"/>
  <c r="Z132" i="7"/>
  <c r="C132" i="7"/>
  <c r="F160" i="7" s="1"/>
  <c r="G160" i="7" s="1"/>
  <c r="O108" i="7"/>
  <c r="I108" i="7"/>
  <c r="L108" i="7" s="1"/>
  <c r="R111" i="7"/>
  <c r="Z117" i="7"/>
  <c r="C117" i="7"/>
  <c r="V137" i="7"/>
  <c r="Z124" i="7"/>
  <c r="C124" i="7"/>
  <c r="F152" i="7" s="1"/>
  <c r="G152" i="7" s="1"/>
  <c r="Z126" i="7"/>
  <c r="C126" i="7"/>
  <c r="F154" i="7" s="1"/>
  <c r="G154" i="7" s="1"/>
  <c r="Z135" i="7"/>
  <c r="C135" i="7"/>
  <c r="F163" i="7" s="1"/>
  <c r="G163" i="7" s="1"/>
  <c r="Z128" i="7"/>
  <c r="C128" i="7"/>
  <c r="F156" i="7" s="1"/>
  <c r="G156" i="7" s="1"/>
  <c r="Z121" i="7"/>
  <c r="C121" i="7"/>
  <c r="F149" i="7" s="1"/>
  <c r="G149" i="7" s="1"/>
  <c r="Z125" i="7"/>
  <c r="C125" i="7"/>
  <c r="F153" i="7" s="1"/>
  <c r="G153" i="7" s="1"/>
  <c r="Z130" i="7"/>
  <c r="C130" i="7"/>
  <c r="F158" i="7" s="1"/>
  <c r="G158" i="7" s="1"/>
  <c r="Z133" i="7"/>
  <c r="C133" i="7"/>
  <c r="F161" i="7" s="1"/>
  <c r="G161" i="7" s="1"/>
  <c r="Z123" i="7"/>
  <c r="C123" i="7"/>
  <c r="F151" i="7" s="1"/>
  <c r="G151" i="7" s="1"/>
  <c r="Z131" i="7"/>
  <c r="C131" i="7"/>
  <c r="F159" i="7" s="1"/>
  <c r="G159" i="7" s="1"/>
  <c r="Z136" i="7"/>
  <c r="C136" i="7"/>
  <c r="F164" i="7" s="1"/>
  <c r="G164" i="7" s="1"/>
  <c r="Z122" i="7"/>
  <c r="C122" i="7"/>
  <c r="F150" i="7" s="1"/>
  <c r="G150" i="7" s="1"/>
  <c r="Z129" i="7"/>
  <c r="C129" i="7"/>
  <c r="F157" i="7" s="1"/>
  <c r="G157" i="7" s="1"/>
  <c r="Z134" i="7"/>
  <c r="C134" i="7"/>
  <c r="F162" i="7" s="1"/>
  <c r="G162" i="7" s="1"/>
  <c r="T20" i="24" l="1"/>
  <c r="R21" i="24"/>
  <c r="S20" i="24"/>
  <c r="W20" i="24" s="1"/>
  <c r="T19" i="25"/>
  <c r="S19" i="25"/>
  <c r="W19" i="25" s="1"/>
  <c r="R20" i="25"/>
  <c r="F20" i="25"/>
  <c r="J20" i="25" s="1"/>
  <c r="G20" i="25"/>
  <c r="E21" i="25"/>
  <c r="G19" i="24"/>
  <c r="F19" i="24"/>
  <c r="J19" i="24" s="1"/>
  <c r="E20" i="24"/>
  <c r="C41" i="12"/>
  <c r="E41" i="12" s="1"/>
  <c r="C17" i="12"/>
  <c r="E17" i="12" s="1"/>
  <c r="C44" i="12"/>
  <c r="E44" i="12" s="1"/>
  <c r="C20" i="12"/>
  <c r="E20" i="12" s="1"/>
  <c r="R109" i="7"/>
  <c r="R110" i="7"/>
  <c r="X120" i="7" s="1"/>
  <c r="C10" i="12"/>
  <c r="E10" i="12" s="1"/>
  <c r="C34" i="12"/>
  <c r="E34" i="12" s="1"/>
  <c r="F145" i="7"/>
  <c r="C9" i="12"/>
  <c r="E9" i="12" s="1"/>
  <c r="C33" i="12"/>
  <c r="E33" i="12" s="1"/>
  <c r="C24" i="12"/>
  <c r="E24" i="12" s="1"/>
  <c r="C48" i="12"/>
  <c r="E48" i="12" s="1"/>
  <c r="R108" i="7"/>
  <c r="R107" i="7"/>
  <c r="C37" i="12"/>
  <c r="E37" i="12" s="1"/>
  <c r="C13" i="12"/>
  <c r="E13" i="12" s="1"/>
  <c r="C47" i="12"/>
  <c r="E47" i="12" s="1"/>
  <c r="C23" i="12"/>
  <c r="E23" i="12" s="1"/>
  <c r="C42" i="12"/>
  <c r="E42" i="12" s="1"/>
  <c r="C18" i="12"/>
  <c r="E18" i="12" s="1"/>
  <c r="C46" i="12"/>
  <c r="E46" i="12" s="1"/>
  <c r="C22" i="12"/>
  <c r="E22" i="12" s="1"/>
  <c r="C40" i="12"/>
  <c r="E40" i="12" s="1"/>
  <c r="C16" i="12"/>
  <c r="E16" i="12" s="1"/>
  <c r="C38" i="12"/>
  <c r="E38" i="12" s="1"/>
  <c r="C14" i="12"/>
  <c r="E14" i="12" s="1"/>
  <c r="C12" i="12"/>
  <c r="E12" i="12" s="1"/>
  <c r="C36" i="12"/>
  <c r="E36" i="12" s="1"/>
  <c r="C39" i="12"/>
  <c r="E39" i="12" s="1"/>
  <c r="C15" i="12"/>
  <c r="E15" i="12" s="1"/>
  <c r="C43" i="12"/>
  <c r="E43" i="12" s="1"/>
  <c r="C19" i="12"/>
  <c r="E19" i="12" s="1"/>
  <c r="C11" i="12"/>
  <c r="E11" i="12" s="1"/>
  <c r="C35" i="12"/>
  <c r="E35" i="12" s="1"/>
  <c r="C45" i="12"/>
  <c r="E45" i="12" s="1"/>
  <c r="C21" i="12"/>
  <c r="E21" i="12" s="1"/>
  <c r="F20" i="24" l="1"/>
  <c r="J20" i="24" s="1"/>
  <c r="G20" i="24"/>
  <c r="E21" i="24"/>
  <c r="F21" i="25"/>
  <c r="J21" i="25" s="1"/>
  <c r="G21" i="25"/>
  <c r="E22" i="25"/>
  <c r="T20" i="25"/>
  <c r="S20" i="25"/>
  <c r="W20" i="25" s="1"/>
  <c r="R21" i="25"/>
  <c r="T21" i="24"/>
  <c r="R22" i="24"/>
  <c r="S21" i="24"/>
  <c r="W21" i="24" s="1"/>
  <c r="X119" i="7"/>
  <c r="Z119" i="7" s="1"/>
  <c r="Z120" i="7"/>
  <c r="C120" i="7"/>
  <c r="F148" i="7" s="1"/>
  <c r="G148" i="7" s="1"/>
  <c r="E26" i="23"/>
  <c r="F26" i="23" s="1"/>
  <c r="G48" i="12"/>
  <c r="E11" i="23"/>
  <c r="F11" i="23" s="1"/>
  <c r="G33" i="12"/>
  <c r="G9" i="12"/>
  <c r="T11" i="23"/>
  <c r="U11" i="23" s="1"/>
  <c r="T18" i="23"/>
  <c r="U18" i="23" s="1"/>
  <c r="G16" i="12"/>
  <c r="E18" i="23"/>
  <c r="F18" i="23" s="1"/>
  <c r="G40" i="12"/>
  <c r="G145" i="7"/>
  <c r="T16" i="23"/>
  <c r="U16" i="23" s="1"/>
  <c r="G14" i="12"/>
  <c r="G22" i="12"/>
  <c r="T24" i="23"/>
  <c r="U24" i="23" s="1"/>
  <c r="E12" i="23"/>
  <c r="F12" i="23" s="1"/>
  <c r="G34" i="12"/>
  <c r="T12" i="23"/>
  <c r="U12" i="23" s="1"/>
  <c r="G10" i="12"/>
  <c r="G18" i="12"/>
  <c r="T20" i="23"/>
  <c r="U20" i="23" s="1"/>
  <c r="G24" i="12"/>
  <c r="T26" i="23"/>
  <c r="U26" i="23" s="1"/>
  <c r="E23" i="23"/>
  <c r="F23" i="23" s="1"/>
  <c r="G45" i="12"/>
  <c r="E20" i="23"/>
  <c r="F20" i="23" s="1"/>
  <c r="G42" i="12"/>
  <c r="G12" i="12"/>
  <c r="T14" i="23"/>
  <c r="U14" i="23" s="1"/>
  <c r="G20" i="12"/>
  <c r="T22" i="23"/>
  <c r="U22" i="23" s="1"/>
  <c r="T13" i="23"/>
  <c r="U13" i="23" s="1"/>
  <c r="G11" i="12"/>
  <c r="G47" i="12"/>
  <c r="E25" i="23"/>
  <c r="F25" i="23" s="1"/>
  <c r="E22" i="23"/>
  <c r="F22" i="23" s="1"/>
  <c r="G44" i="12"/>
  <c r="G35" i="12"/>
  <c r="E13" i="23"/>
  <c r="F13" i="23" s="1"/>
  <c r="T21" i="23"/>
  <c r="U21" i="23" s="1"/>
  <c r="G19" i="12"/>
  <c r="T15" i="23"/>
  <c r="U15" i="23" s="1"/>
  <c r="G13" i="12"/>
  <c r="E24" i="23"/>
  <c r="F24" i="23" s="1"/>
  <c r="G46" i="12"/>
  <c r="G37" i="12"/>
  <c r="E15" i="23"/>
  <c r="F15" i="23" s="1"/>
  <c r="T19" i="23"/>
  <c r="U19" i="23" s="1"/>
  <c r="G17" i="12"/>
  <c r="E14" i="23"/>
  <c r="F14" i="23" s="1"/>
  <c r="G36" i="12"/>
  <c r="T23" i="23"/>
  <c r="U23" i="23" s="1"/>
  <c r="G21" i="12"/>
  <c r="T17" i="23"/>
  <c r="U17" i="23" s="1"/>
  <c r="G15" i="12"/>
  <c r="R113" i="7"/>
  <c r="X118" i="7"/>
  <c r="G41" i="12"/>
  <c r="E19" i="23"/>
  <c r="F19" i="23" s="1"/>
  <c r="G38" i="12"/>
  <c r="E16" i="23"/>
  <c r="F16" i="23" s="1"/>
  <c r="T25" i="23"/>
  <c r="U25" i="23" s="1"/>
  <c r="G23" i="12"/>
  <c r="G43" i="12"/>
  <c r="E21" i="23"/>
  <c r="F21" i="23" s="1"/>
  <c r="G39" i="12"/>
  <c r="E17" i="23"/>
  <c r="F17" i="23" s="1"/>
  <c r="C119" i="7" l="1"/>
  <c r="F147" i="7" s="1"/>
  <c r="G147" i="7" s="1"/>
  <c r="R23" i="24"/>
  <c r="T22" i="24"/>
  <c r="S22" i="24"/>
  <c r="W22" i="24" s="1"/>
  <c r="R22" i="25"/>
  <c r="T21" i="25"/>
  <c r="S21" i="25"/>
  <c r="G22" i="25"/>
  <c r="F22" i="25"/>
  <c r="J22" i="25" s="1"/>
  <c r="E23" i="25"/>
  <c r="G21" i="24"/>
  <c r="F21" i="24"/>
  <c r="J21" i="24" s="1"/>
  <c r="E22" i="24"/>
  <c r="C31" i="12"/>
  <c r="E31" i="12" s="1"/>
  <c r="C7" i="12"/>
  <c r="E7" i="12" s="1"/>
  <c r="X137" i="7"/>
  <c r="Z137" i="7" s="1"/>
  <c r="Z118" i="7"/>
  <c r="C118" i="7"/>
  <c r="C29" i="12"/>
  <c r="E29" i="12" s="1"/>
  <c r="C5" i="12"/>
  <c r="E5" i="12" s="1"/>
  <c r="C8" i="12"/>
  <c r="E8" i="12" s="1"/>
  <c r="C32" i="12"/>
  <c r="E32" i="12" s="1"/>
  <c r="G22" i="24" l="1"/>
  <c r="F22" i="24"/>
  <c r="J22" i="24" s="1"/>
  <c r="E23" i="24"/>
  <c r="S22" i="25"/>
  <c r="W22" i="25" s="1"/>
  <c r="W21" i="25"/>
  <c r="R23" i="25"/>
  <c r="T22" i="25"/>
  <c r="F23" i="25"/>
  <c r="J23" i="25" s="1"/>
  <c r="G23" i="25"/>
  <c r="E24" i="25"/>
  <c r="R24" i="24"/>
  <c r="T23" i="24"/>
  <c r="S23" i="24"/>
  <c r="W23" i="24" s="1"/>
  <c r="E10" i="23"/>
  <c r="F10" i="23" s="1"/>
  <c r="G32" i="12"/>
  <c r="G8" i="12"/>
  <c r="T10" i="23"/>
  <c r="U10" i="23" s="1"/>
  <c r="G5" i="12"/>
  <c r="T7" i="23"/>
  <c r="E7" i="23"/>
  <c r="G29" i="12"/>
  <c r="F146" i="7"/>
  <c r="C137" i="7"/>
  <c r="C138" i="7" s="1"/>
  <c r="T9" i="23"/>
  <c r="U9" i="23" s="1"/>
  <c r="G7" i="12"/>
  <c r="G31" i="12"/>
  <c r="E9" i="23"/>
  <c r="F9" i="23" s="1"/>
  <c r="R25" i="24" l="1"/>
  <c r="T24" i="24"/>
  <c r="S24" i="24"/>
  <c r="W24" i="24" s="1"/>
  <c r="G23" i="24"/>
  <c r="E24" i="24"/>
  <c r="F23" i="24"/>
  <c r="J23" i="24" s="1"/>
  <c r="E25" i="25"/>
  <c r="F24" i="25"/>
  <c r="J24" i="25" s="1"/>
  <c r="G24" i="25"/>
  <c r="S23" i="25"/>
  <c r="W23" i="25" s="1"/>
  <c r="T23" i="25"/>
  <c r="R24" i="25"/>
  <c r="G146" i="7"/>
  <c r="F165" i="7"/>
  <c r="F7" i="23"/>
  <c r="U7" i="23"/>
  <c r="R25" i="25" l="1"/>
  <c r="S24" i="25"/>
  <c r="W24" i="25" s="1"/>
  <c r="T24" i="25"/>
  <c r="E26" i="25"/>
  <c r="G25" i="25"/>
  <c r="F25" i="25"/>
  <c r="J25" i="25" s="1"/>
  <c r="E25" i="24"/>
  <c r="G24" i="24"/>
  <c r="F24" i="24"/>
  <c r="J24" i="24" s="1"/>
  <c r="R26" i="24"/>
  <c r="T25" i="24"/>
  <c r="S25" i="24"/>
  <c r="W25" i="24" s="1"/>
  <c r="V8" i="23"/>
  <c r="G8" i="23"/>
  <c r="C30" i="12"/>
  <c r="E30" i="12" s="1"/>
  <c r="C6" i="12"/>
  <c r="E6" i="12" s="1"/>
  <c r="G165" i="7"/>
  <c r="G166" i="7" s="1"/>
  <c r="T26" i="24" l="1"/>
  <c r="R27" i="24"/>
  <c r="S26" i="24"/>
  <c r="W26" i="24" s="1"/>
  <c r="E26" i="24"/>
  <c r="G25" i="24"/>
  <c r="F25" i="24"/>
  <c r="J25" i="24" s="1"/>
  <c r="E27" i="25"/>
  <c r="G26" i="25"/>
  <c r="F26" i="25"/>
  <c r="J26" i="25" s="1"/>
  <c r="S25" i="25"/>
  <c r="W25" i="25" s="1"/>
  <c r="T25" i="25"/>
  <c r="R26" i="25"/>
  <c r="G6" i="12"/>
  <c r="G25" i="12" s="1"/>
  <c r="T8" i="23"/>
  <c r="E25" i="12"/>
  <c r="E8" i="23"/>
  <c r="G30" i="12"/>
  <c r="G49" i="12" s="1"/>
  <c r="E49" i="12"/>
  <c r="H8" i="23"/>
  <c r="K8" i="23" s="1"/>
  <c r="W8" i="23"/>
  <c r="Z8" i="23" s="1"/>
  <c r="R27" i="25" l="1"/>
  <c r="S26" i="25"/>
  <c r="W26" i="25" s="1"/>
  <c r="T26" i="25"/>
  <c r="E28" i="25"/>
  <c r="G27" i="25"/>
  <c r="F27" i="25"/>
  <c r="J27" i="25" s="1"/>
  <c r="T27" i="24"/>
  <c r="R28" i="24"/>
  <c r="S27" i="24"/>
  <c r="W27" i="24" s="1"/>
  <c r="E27" i="24"/>
  <c r="F26" i="24"/>
  <c r="J26" i="24" s="1"/>
  <c r="G26" i="24"/>
  <c r="O23" i="12"/>
  <c r="N20" i="14" s="1"/>
  <c r="N21" i="14" s="1"/>
  <c r="N22" i="14" s="1"/>
  <c r="O48" i="12"/>
  <c r="P14" i="15"/>
  <c r="P15" i="15" s="1"/>
  <c r="P16" i="15" s="1"/>
  <c r="P14" i="19"/>
  <c r="P15" i="19" s="1"/>
  <c r="P16" i="19" s="1"/>
  <c r="N14" i="11"/>
  <c r="N15" i="11" s="1"/>
  <c r="N16" i="11" s="1"/>
  <c r="F8" i="23"/>
  <c r="E28" i="23"/>
  <c r="O24" i="12"/>
  <c r="N14" i="14"/>
  <c r="O47" i="12"/>
  <c r="U8" i="23"/>
  <c r="T28" i="23"/>
  <c r="P20" i="20" l="1"/>
  <c r="P21" i="20" s="1"/>
  <c r="P22" i="20" s="1"/>
  <c r="P20" i="22"/>
  <c r="P21" i="22" s="1"/>
  <c r="P22" i="22" s="1"/>
  <c r="G27" i="24"/>
  <c r="F27" i="24"/>
  <c r="J27" i="24" s="1"/>
  <c r="E28" i="24"/>
  <c r="T28" i="24"/>
  <c r="S28" i="24"/>
  <c r="W28" i="24" s="1"/>
  <c r="G28" i="25"/>
  <c r="F28" i="25"/>
  <c r="J28" i="25" s="1"/>
  <c r="S27" i="25"/>
  <c r="W27" i="25" s="1"/>
  <c r="T27" i="25"/>
  <c r="R28" i="25"/>
  <c r="N20" i="11"/>
  <c r="N21" i="11" s="1"/>
  <c r="N22" i="11" s="1"/>
  <c r="P20" i="19"/>
  <c r="P21" i="19" s="1"/>
  <c r="P22" i="19" s="1"/>
  <c r="P20" i="15"/>
  <c r="P21" i="15" s="1"/>
  <c r="P22" i="15" s="1"/>
  <c r="P14" i="20"/>
  <c r="P15" i="20" s="1"/>
  <c r="P16" i="20" s="1"/>
  <c r="N15" i="14"/>
  <c r="N16" i="14" s="1"/>
  <c r="P14" i="22"/>
  <c r="P15" i="22" s="1"/>
  <c r="P16" i="22" s="1"/>
  <c r="U28" i="23"/>
  <c r="V9" i="23"/>
  <c r="G9" i="23"/>
  <c r="F28" i="23"/>
  <c r="T28" i="25" l="1"/>
  <c r="S28" i="25"/>
  <c r="W28" i="25" s="1"/>
  <c r="X21" i="24"/>
  <c r="Y21" i="24" s="1"/>
  <c r="X11" i="24"/>
  <c r="Y11" i="24" s="1"/>
  <c r="X13" i="24"/>
  <c r="Y13" i="24" s="1"/>
  <c r="X23" i="24"/>
  <c r="Y23" i="24" s="1"/>
  <c r="X16" i="24"/>
  <c r="Y16" i="24" s="1"/>
  <c r="X8" i="24"/>
  <c r="Y8" i="24" s="1"/>
  <c r="X20" i="24"/>
  <c r="Y20" i="24" s="1"/>
  <c r="X12" i="24"/>
  <c r="Y12" i="24" s="1"/>
  <c r="X25" i="24"/>
  <c r="Y25" i="24" s="1"/>
  <c r="X27" i="24"/>
  <c r="Y27" i="24" s="1"/>
  <c r="X18" i="24"/>
  <c r="Y18" i="24" s="1"/>
  <c r="X19" i="24"/>
  <c r="Y19" i="24" s="1"/>
  <c r="X28" i="24"/>
  <c r="Y28" i="24" s="1"/>
  <c r="X26" i="24"/>
  <c r="Y26" i="24" s="1"/>
  <c r="X22" i="24"/>
  <c r="Y22" i="24" s="1"/>
  <c r="X9" i="24"/>
  <c r="Y9" i="24" s="1"/>
  <c r="X24" i="24"/>
  <c r="Y24" i="24" s="1"/>
  <c r="X17" i="24"/>
  <c r="Y17" i="24" s="1"/>
  <c r="X15" i="24"/>
  <c r="Y15" i="24" s="1"/>
  <c r="X10" i="24"/>
  <c r="Y10" i="24" s="1"/>
  <c r="X14" i="24"/>
  <c r="Y14" i="24" s="1"/>
  <c r="H24" i="25"/>
  <c r="I24" i="25" s="1"/>
  <c r="AM26" i="26" s="1"/>
  <c r="H17" i="25"/>
  <c r="I17" i="25" s="1"/>
  <c r="AM19" i="26" s="1"/>
  <c r="H27" i="25"/>
  <c r="I27" i="25" s="1"/>
  <c r="AM29" i="26" s="1"/>
  <c r="H11" i="25"/>
  <c r="I11" i="25" s="1"/>
  <c r="AM13" i="26" s="1"/>
  <c r="H22" i="25"/>
  <c r="I22" i="25" s="1"/>
  <c r="AM24" i="26" s="1"/>
  <c r="H16" i="25"/>
  <c r="I16" i="25" s="1"/>
  <c r="AM18" i="26" s="1"/>
  <c r="H14" i="25"/>
  <c r="I14" i="25" s="1"/>
  <c r="AM16" i="26" s="1"/>
  <c r="H23" i="25"/>
  <c r="I23" i="25" s="1"/>
  <c r="AM25" i="26" s="1"/>
  <c r="H12" i="25"/>
  <c r="I12" i="25" s="1"/>
  <c r="AM14" i="26" s="1"/>
  <c r="H26" i="25"/>
  <c r="I26" i="25" s="1"/>
  <c r="AM28" i="26" s="1"/>
  <c r="H25" i="25"/>
  <c r="I25" i="25" s="1"/>
  <c r="AM27" i="26" s="1"/>
  <c r="H28" i="25"/>
  <c r="I28" i="25" s="1"/>
  <c r="AM30" i="26" s="1"/>
  <c r="H20" i="25"/>
  <c r="I20" i="25" s="1"/>
  <c r="AM22" i="26" s="1"/>
  <c r="H19" i="25"/>
  <c r="I19" i="25" s="1"/>
  <c r="AM21" i="26" s="1"/>
  <c r="H15" i="25"/>
  <c r="I15" i="25" s="1"/>
  <c r="AM17" i="26" s="1"/>
  <c r="H8" i="25"/>
  <c r="I8" i="25" s="1"/>
  <c r="AM10" i="26" s="1"/>
  <c r="H10" i="25"/>
  <c r="I10" i="25" s="1"/>
  <c r="AM12" i="26" s="1"/>
  <c r="H9" i="25"/>
  <c r="I9" i="25" s="1"/>
  <c r="AM11" i="26" s="1"/>
  <c r="H13" i="25"/>
  <c r="I13" i="25" s="1"/>
  <c r="AM15" i="26" s="1"/>
  <c r="H18" i="25"/>
  <c r="I18" i="25" s="1"/>
  <c r="AM20" i="26" s="1"/>
  <c r="H21" i="25"/>
  <c r="I21" i="25" s="1"/>
  <c r="AM23" i="26" s="1"/>
  <c r="G28" i="24"/>
  <c r="F28" i="24"/>
  <c r="J28" i="24" s="1"/>
  <c r="K28" i="25"/>
  <c r="L28" i="25" s="1"/>
  <c r="K20" i="25"/>
  <c r="L20" i="25" s="1"/>
  <c r="K24" i="25"/>
  <c r="L24" i="25" s="1"/>
  <c r="K12" i="25"/>
  <c r="L12" i="25" s="1"/>
  <c r="K13" i="25"/>
  <c r="L13" i="25" s="1"/>
  <c r="K26" i="25"/>
  <c r="L26" i="25" s="1"/>
  <c r="K23" i="25"/>
  <c r="L23" i="25" s="1"/>
  <c r="K21" i="25"/>
  <c r="L21" i="25" s="1"/>
  <c r="K25" i="25"/>
  <c r="L25" i="25" s="1"/>
  <c r="K22" i="25"/>
  <c r="L22" i="25" s="1"/>
  <c r="K19" i="25"/>
  <c r="L19" i="25" s="1"/>
  <c r="K17" i="25"/>
  <c r="L17" i="25" s="1"/>
  <c r="K27" i="25"/>
  <c r="L27" i="25" s="1"/>
  <c r="K11" i="25"/>
  <c r="L11" i="25" s="1"/>
  <c r="K9" i="25"/>
  <c r="L9" i="25" s="1"/>
  <c r="K16" i="25"/>
  <c r="L16" i="25" s="1"/>
  <c r="K18" i="25"/>
  <c r="L18" i="25" s="1"/>
  <c r="K14" i="25"/>
  <c r="L14" i="25" s="1"/>
  <c r="K10" i="25"/>
  <c r="L10" i="25" s="1"/>
  <c r="K8" i="25"/>
  <c r="L8" i="25" s="1"/>
  <c r="K15" i="25"/>
  <c r="L15" i="25" s="1"/>
  <c r="U9" i="24"/>
  <c r="V9" i="24" s="1"/>
  <c r="AL11" i="26" s="1"/>
  <c r="U25" i="24"/>
  <c r="V25" i="24" s="1"/>
  <c r="AL27" i="26" s="1"/>
  <c r="U11" i="24"/>
  <c r="V11" i="24" s="1"/>
  <c r="AL13" i="26" s="1"/>
  <c r="U22" i="24"/>
  <c r="V22" i="24" s="1"/>
  <c r="AL24" i="26" s="1"/>
  <c r="U27" i="24"/>
  <c r="V27" i="24" s="1"/>
  <c r="AL29" i="26" s="1"/>
  <c r="U19" i="24"/>
  <c r="V19" i="24" s="1"/>
  <c r="AL21" i="26" s="1"/>
  <c r="U16" i="24"/>
  <c r="V16" i="24" s="1"/>
  <c r="AL18" i="26" s="1"/>
  <c r="U24" i="24"/>
  <c r="V24" i="24" s="1"/>
  <c r="AL26" i="26" s="1"/>
  <c r="U8" i="24"/>
  <c r="V8" i="24" s="1"/>
  <c r="AL10" i="26" s="1"/>
  <c r="U18" i="24"/>
  <c r="V18" i="24" s="1"/>
  <c r="AL20" i="26" s="1"/>
  <c r="U26" i="24"/>
  <c r="V26" i="24" s="1"/>
  <c r="AL28" i="26" s="1"/>
  <c r="U23" i="24"/>
  <c r="V23" i="24" s="1"/>
  <c r="AL25" i="26" s="1"/>
  <c r="U14" i="24"/>
  <c r="V14" i="24" s="1"/>
  <c r="AL16" i="26" s="1"/>
  <c r="U21" i="24"/>
  <c r="V21" i="24" s="1"/>
  <c r="AL23" i="26" s="1"/>
  <c r="U15" i="24"/>
  <c r="V15" i="24" s="1"/>
  <c r="AL17" i="26" s="1"/>
  <c r="U20" i="24"/>
  <c r="V20" i="24" s="1"/>
  <c r="AL22" i="26" s="1"/>
  <c r="U10" i="24"/>
  <c r="V10" i="24" s="1"/>
  <c r="AL12" i="26" s="1"/>
  <c r="U28" i="24"/>
  <c r="V28" i="24" s="1"/>
  <c r="AL30" i="26" s="1"/>
  <c r="U12" i="24"/>
  <c r="V12" i="24" s="1"/>
  <c r="AL14" i="26" s="1"/>
  <c r="U13" i="24"/>
  <c r="V13" i="24" s="1"/>
  <c r="AL15" i="26" s="1"/>
  <c r="U17" i="24"/>
  <c r="V17" i="24" s="1"/>
  <c r="AL19" i="26" s="1"/>
  <c r="G10" i="23"/>
  <c r="H9" i="23"/>
  <c r="K9" i="23" s="1"/>
  <c r="V10" i="23"/>
  <c r="W9" i="23"/>
  <c r="Z9" i="23" s="1"/>
  <c r="AB28" i="26" l="1"/>
  <c r="AC16" i="26"/>
  <c r="AC22" i="26"/>
  <c r="AB30" i="26"/>
  <c r="AC20" i="26"/>
  <c r="AC30" i="26"/>
  <c r="AC18" i="26"/>
  <c r="K14" i="24"/>
  <c r="L14" i="24" s="1"/>
  <c r="K17" i="24"/>
  <c r="L17" i="24" s="1"/>
  <c r="K9" i="24"/>
  <c r="L9" i="24" s="1"/>
  <c r="K23" i="24"/>
  <c r="L23" i="24" s="1"/>
  <c r="K27" i="24"/>
  <c r="L27" i="24" s="1"/>
  <c r="K26" i="24"/>
  <c r="L26" i="24" s="1"/>
  <c r="K12" i="24"/>
  <c r="L12" i="24" s="1"/>
  <c r="K25" i="24"/>
  <c r="L25" i="24" s="1"/>
  <c r="K20" i="24"/>
  <c r="L20" i="24" s="1"/>
  <c r="K28" i="24"/>
  <c r="L28" i="24" s="1"/>
  <c r="K19" i="24"/>
  <c r="L19" i="24" s="1"/>
  <c r="K15" i="24"/>
  <c r="L15" i="24" s="1"/>
  <c r="K16" i="24"/>
  <c r="L16" i="24" s="1"/>
  <c r="K18" i="24"/>
  <c r="L18" i="24" s="1"/>
  <c r="K11" i="24"/>
  <c r="L11" i="24" s="1"/>
  <c r="K24" i="24"/>
  <c r="L24" i="24" s="1"/>
  <c r="K10" i="24"/>
  <c r="L10" i="24" s="1"/>
  <c r="K22" i="24"/>
  <c r="L22" i="24" s="1"/>
  <c r="K8" i="24"/>
  <c r="L8" i="24" s="1"/>
  <c r="K21" i="24"/>
  <c r="L21" i="24" s="1"/>
  <c r="K13" i="24"/>
  <c r="L13" i="24" s="1"/>
  <c r="AB21" i="26"/>
  <c r="AC11" i="26"/>
  <c r="H26" i="24"/>
  <c r="I26" i="24" s="1"/>
  <c r="AK28" i="26" s="1"/>
  <c r="H17" i="24"/>
  <c r="I17" i="24" s="1"/>
  <c r="AK19" i="26" s="1"/>
  <c r="H23" i="24"/>
  <c r="I23" i="24" s="1"/>
  <c r="AK25" i="26" s="1"/>
  <c r="H9" i="24"/>
  <c r="I9" i="24" s="1"/>
  <c r="AK11" i="26" s="1"/>
  <c r="H25" i="24"/>
  <c r="I25" i="24" s="1"/>
  <c r="AK27" i="26" s="1"/>
  <c r="H19" i="24"/>
  <c r="I19" i="24" s="1"/>
  <c r="AK21" i="26" s="1"/>
  <c r="H10" i="24"/>
  <c r="I10" i="24" s="1"/>
  <c r="AK12" i="26" s="1"/>
  <c r="H22" i="24"/>
  <c r="I22" i="24" s="1"/>
  <c r="AK24" i="26" s="1"/>
  <c r="H16" i="24"/>
  <c r="I16" i="24" s="1"/>
  <c r="AK18" i="26" s="1"/>
  <c r="H12" i="24"/>
  <c r="I12" i="24" s="1"/>
  <c r="AK14" i="26" s="1"/>
  <c r="H24" i="24"/>
  <c r="I24" i="24" s="1"/>
  <c r="AK26" i="26" s="1"/>
  <c r="H15" i="24"/>
  <c r="I15" i="24" s="1"/>
  <c r="AK17" i="26" s="1"/>
  <c r="H21" i="24"/>
  <c r="I21" i="24" s="1"/>
  <c r="AK23" i="26" s="1"/>
  <c r="H13" i="24"/>
  <c r="I13" i="24" s="1"/>
  <c r="AK15" i="26" s="1"/>
  <c r="H28" i="24"/>
  <c r="I28" i="24" s="1"/>
  <c r="AK30" i="26" s="1"/>
  <c r="H8" i="24"/>
  <c r="I8" i="24" s="1"/>
  <c r="AK10" i="26" s="1"/>
  <c r="H27" i="24"/>
  <c r="I27" i="24" s="1"/>
  <c r="AK29" i="26" s="1"/>
  <c r="H14" i="24"/>
  <c r="I14" i="24" s="1"/>
  <c r="AK16" i="26" s="1"/>
  <c r="H18" i="24"/>
  <c r="I18" i="24" s="1"/>
  <c r="AK20" i="26" s="1"/>
  <c r="H11" i="24"/>
  <c r="I11" i="24" s="1"/>
  <c r="AK13" i="26" s="1"/>
  <c r="H20" i="24"/>
  <c r="I20" i="24" s="1"/>
  <c r="AK22" i="26" s="1"/>
  <c r="AB20" i="26"/>
  <c r="AL31" i="26"/>
  <c r="AB29" i="26"/>
  <c r="AB27" i="26"/>
  <c r="AB14" i="26"/>
  <c r="AC21" i="26"/>
  <c r="AB22" i="26"/>
  <c r="AC19" i="26"/>
  <c r="AB10" i="26"/>
  <c r="B5" i="29"/>
  <c r="C30" i="29" s="1"/>
  <c r="AM31" i="26"/>
  <c r="AB16" i="26"/>
  <c r="AB18" i="26"/>
  <c r="AB12" i="26"/>
  <c r="AB25" i="26"/>
  <c r="AB17" i="26"/>
  <c r="AB15" i="26"/>
  <c r="AC13" i="26"/>
  <c r="AC24" i="26"/>
  <c r="AC27" i="26"/>
  <c r="AC28" i="26"/>
  <c r="AB19" i="26"/>
  <c r="AB13" i="26"/>
  <c r="AB26" i="26"/>
  <c r="AB23" i="26"/>
  <c r="AC23" i="26"/>
  <c r="AC25" i="26"/>
  <c r="AC14" i="26"/>
  <c r="AB11" i="26"/>
  <c r="X23" i="25"/>
  <c r="Y23" i="25" s="1"/>
  <c r="X21" i="25"/>
  <c r="Y21" i="25" s="1"/>
  <c r="X14" i="25"/>
  <c r="Y14" i="25" s="1"/>
  <c r="X19" i="25"/>
  <c r="Y19" i="25" s="1"/>
  <c r="X10" i="25"/>
  <c r="Y10" i="25" s="1"/>
  <c r="X18" i="25"/>
  <c r="Y18" i="25" s="1"/>
  <c r="X13" i="25"/>
  <c r="Y13" i="25" s="1"/>
  <c r="X9" i="25"/>
  <c r="Y9" i="25" s="1"/>
  <c r="X8" i="25"/>
  <c r="Y8" i="25" s="1"/>
  <c r="X28" i="25"/>
  <c r="Y28" i="25" s="1"/>
  <c r="X22" i="25"/>
  <c r="Y22" i="25" s="1"/>
  <c r="X12" i="25"/>
  <c r="Y12" i="25" s="1"/>
  <c r="X24" i="25"/>
  <c r="Y24" i="25" s="1"/>
  <c r="X16" i="25"/>
  <c r="Y16" i="25" s="1"/>
  <c r="X25" i="25"/>
  <c r="Y25" i="25" s="1"/>
  <c r="X17" i="25"/>
  <c r="Y17" i="25" s="1"/>
  <c r="X27" i="25"/>
  <c r="Y27" i="25" s="1"/>
  <c r="X15" i="25"/>
  <c r="Y15" i="25" s="1"/>
  <c r="X26" i="25"/>
  <c r="Y26" i="25" s="1"/>
  <c r="X11" i="25"/>
  <c r="Y11" i="25" s="1"/>
  <c r="X20" i="25"/>
  <c r="Y20" i="25" s="1"/>
  <c r="AC29" i="26"/>
  <c r="AC17" i="26"/>
  <c r="AC15" i="26"/>
  <c r="B35" i="27"/>
  <c r="C60" i="27" s="1"/>
  <c r="AC10" i="26"/>
  <c r="AC12" i="26"/>
  <c r="AC26" i="26"/>
  <c r="AB24" i="26"/>
  <c r="U21" i="25"/>
  <c r="V21" i="25" s="1"/>
  <c r="AN23" i="26" s="1"/>
  <c r="U24" i="25"/>
  <c r="V24" i="25" s="1"/>
  <c r="AN26" i="26" s="1"/>
  <c r="U18" i="25"/>
  <c r="V18" i="25" s="1"/>
  <c r="AN20" i="26" s="1"/>
  <c r="U20" i="25"/>
  <c r="V20" i="25" s="1"/>
  <c r="AN22" i="26" s="1"/>
  <c r="U13" i="25"/>
  <c r="V13" i="25" s="1"/>
  <c r="AN15" i="26" s="1"/>
  <c r="U27" i="25"/>
  <c r="V27" i="25" s="1"/>
  <c r="AN29" i="26" s="1"/>
  <c r="U11" i="25"/>
  <c r="V11" i="25" s="1"/>
  <c r="AN13" i="26" s="1"/>
  <c r="U10" i="25"/>
  <c r="V10" i="25" s="1"/>
  <c r="AN12" i="26" s="1"/>
  <c r="U23" i="25"/>
  <c r="V23" i="25" s="1"/>
  <c r="AN25" i="26" s="1"/>
  <c r="U14" i="25"/>
  <c r="V14" i="25" s="1"/>
  <c r="AN16" i="26" s="1"/>
  <c r="U15" i="25"/>
  <c r="V15" i="25" s="1"/>
  <c r="AN17" i="26" s="1"/>
  <c r="U22" i="25"/>
  <c r="V22" i="25" s="1"/>
  <c r="AN24" i="26" s="1"/>
  <c r="U28" i="25"/>
  <c r="V28" i="25" s="1"/>
  <c r="AN30" i="26" s="1"/>
  <c r="U9" i="25"/>
  <c r="V9" i="25" s="1"/>
  <c r="AN11" i="26" s="1"/>
  <c r="U19" i="25"/>
  <c r="V19" i="25" s="1"/>
  <c r="AN21" i="26" s="1"/>
  <c r="U12" i="25"/>
  <c r="V12" i="25" s="1"/>
  <c r="AN14" i="26" s="1"/>
  <c r="U25" i="25"/>
  <c r="V25" i="25" s="1"/>
  <c r="AN27" i="26" s="1"/>
  <c r="U26" i="25"/>
  <c r="V26" i="25" s="1"/>
  <c r="AN28" i="26" s="1"/>
  <c r="U17" i="25"/>
  <c r="V17" i="25" s="1"/>
  <c r="AN19" i="26" s="1"/>
  <c r="U8" i="25"/>
  <c r="V8" i="25" s="1"/>
  <c r="AN10" i="26" s="1"/>
  <c r="U16" i="25"/>
  <c r="V16" i="25" s="1"/>
  <c r="AN18" i="26" s="1"/>
  <c r="V11" i="23"/>
  <c r="W10" i="23"/>
  <c r="Z10" i="23" s="1"/>
  <c r="G11" i="23"/>
  <c r="H10" i="23"/>
  <c r="K10" i="23" s="1"/>
  <c r="C58" i="27" l="1"/>
  <c r="C11" i="29"/>
  <c r="C47" i="27"/>
  <c r="C15" i="29"/>
  <c r="C45" i="27"/>
  <c r="C57" i="27"/>
  <c r="C56" i="27"/>
  <c r="C42" i="27"/>
  <c r="C55" i="27"/>
  <c r="C24" i="29"/>
  <c r="C26" i="29"/>
  <c r="C13" i="29"/>
  <c r="C14" i="29"/>
  <c r="C25" i="29"/>
  <c r="C49" i="27"/>
  <c r="C16" i="29"/>
  <c r="C20" i="29"/>
  <c r="AD26" i="26"/>
  <c r="C46" i="27"/>
  <c r="C59" i="27"/>
  <c r="AA24" i="26"/>
  <c r="AA19" i="26"/>
  <c r="AD14" i="26"/>
  <c r="AA12" i="26"/>
  <c r="AA16" i="26"/>
  <c r="AD24" i="26"/>
  <c r="C21" i="29"/>
  <c r="AA26" i="26"/>
  <c r="AD30" i="26"/>
  <c r="AA13" i="26"/>
  <c r="C50" i="27"/>
  <c r="AA20" i="26"/>
  <c r="AD11" i="26"/>
  <c r="AA18" i="26"/>
  <c r="C62" i="27"/>
  <c r="AD15" i="26"/>
  <c r="C51" i="27"/>
  <c r="AA17" i="26"/>
  <c r="AD10" i="26"/>
  <c r="B35" i="29"/>
  <c r="C47" i="29" s="1"/>
  <c r="C61" i="27"/>
  <c r="AD20" i="26"/>
  <c r="C27" i="29"/>
  <c r="C18" i="29"/>
  <c r="C23" i="29"/>
  <c r="AA21" i="26"/>
  <c r="C52" i="27"/>
  <c r="AD22" i="26"/>
  <c r="AD12" i="26"/>
  <c r="AA30" i="26"/>
  <c r="C31" i="29"/>
  <c r="AD21" i="26"/>
  <c r="AK31" i="26"/>
  <c r="AA22" i="26"/>
  <c r="AD16" i="26"/>
  <c r="C53" i="27"/>
  <c r="C43" i="27"/>
  <c r="AA27" i="26"/>
  <c r="AN31" i="26"/>
  <c r="C22" i="29"/>
  <c r="AA14" i="26"/>
  <c r="C54" i="27"/>
  <c r="AD29" i="26"/>
  <c r="AD25" i="26"/>
  <c r="AA28" i="26"/>
  <c r="C12" i="29"/>
  <c r="C19" i="29"/>
  <c r="C28" i="29"/>
  <c r="AA15" i="26"/>
  <c r="AA29" i="26"/>
  <c r="C48" i="27"/>
  <c r="AD19" i="26"/>
  <c r="C44" i="27"/>
  <c r="AD27" i="26"/>
  <c r="AA23" i="26"/>
  <c r="AA25" i="26"/>
  <c r="C29" i="29"/>
  <c r="AD13" i="26"/>
  <c r="AD28" i="26"/>
  <c r="AD17" i="26"/>
  <c r="AD23" i="26"/>
  <c r="AD18" i="26"/>
  <c r="C17" i="29"/>
  <c r="B5" i="27"/>
  <c r="C28" i="27" s="1"/>
  <c r="AA10" i="26"/>
  <c r="AA11" i="26"/>
  <c r="G12" i="23"/>
  <c r="H11" i="23"/>
  <c r="K11" i="23" s="1"/>
  <c r="V12" i="23"/>
  <c r="W11" i="23"/>
  <c r="Z11" i="23" s="1"/>
  <c r="C45" i="29" l="1"/>
  <c r="C49" i="29"/>
  <c r="C57" i="29"/>
  <c r="C55" i="29"/>
  <c r="C48" i="29"/>
  <c r="C52" i="29"/>
  <c r="C53" i="29"/>
  <c r="C42" i="29"/>
  <c r="C60" i="29"/>
  <c r="C61" i="29"/>
  <c r="C44" i="29"/>
  <c r="C59" i="29"/>
  <c r="C50" i="29"/>
  <c r="C51" i="29"/>
  <c r="C43" i="29"/>
  <c r="C15" i="27"/>
  <c r="C30" i="27"/>
  <c r="C26" i="27"/>
  <c r="C56" i="29"/>
  <c r="C31" i="27"/>
  <c r="C22" i="27"/>
  <c r="C19" i="27"/>
  <c r="C17" i="27"/>
  <c r="C12" i="27"/>
  <c r="C11" i="27"/>
  <c r="C29" i="27"/>
  <c r="C24" i="27"/>
  <c r="C23" i="27"/>
  <c r="C13" i="27"/>
  <c r="C21" i="27"/>
  <c r="C46" i="29"/>
  <c r="C20" i="27"/>
  <c r="C14" i="27"/>
  <c r="C25" i="27"/>
  <c r="C62" i="29"/>
  <c r="C18" i="27"/>
  <c r="C27" i="27"/>
  <c r="C16" i="27"/>
  <c r="C54" i="29"/>
  <c r="C58" i="29"/>
  <c r="V13" i="23"/>
  <c r="W12" i="23"/>
  <c r="Z12" i="23" s="1"/>
  <c r="G13" i="23"/>
  <c r="H12" i="23"/>
  <c r="K12" i="23" s="1"/>
  <c r="G14" i="23" l="1"/>
  <c r="H13" i="23"/>
  <c r="K13" i="23" s="1"/>
  <c r="V14" i="23"/>
  <c r="W13" i="23"/>
  <c r="Z13" i="23" s="1"/>
  <c r="G15" i="23" l="1"/>
  <c r="V15" i="23"/>
  <c r="W14" i="23"/>
  <c r="Z14" i="23" s="1"/>
  <c r="H14" i="23"/>
  <c r="K14" i="23" s="1"/>
  <c r="W15" i="23" l="1"/>
  <c r="Z15" i="23" s="1"/>
  <c r="G16" i="23"/>
  <c r="V16" i="23"/>
  <c r="H15" i="23"/>
  <c r="K15" i="23" s="1"/>
  <c r="V17" i="23" l="1"/>
  <c r="W16" i="23"/>
  <c r="Z16" i="23" s="1"/>
  <c r="G17" i="23"/>
  <c r="H16" i="23"/>
  <c r="K16" i="23" s="1"/>
  <c r="G18" i="23" l="1"/>
  <c r="H17" i="23"/>
  <c r="K17" i="23" s="1"/>
  <c r="V18" i="23"/>
  <c r="W17" i="23"/>
  <c r="Z17" i="23" s="1"/>
  <c r="V19" i="23" l="1"/>
  <c r="W18" i="23"/>
  <c r="Z18" i="23" s="1"/>
  <c r="G19" i="23"/>
  <c r="H18" i="23"/>
  <c r="K18" i="23" s="1"/>
  <c r="G20" i="23" l="1"/>
  <c r="H19" i="23"/>
  <c r="K19" i="23" s="1"/>
  <c r="V20" i="23"/>
  <c r="W19" i="23"/>
  <c r="Z19" i="23" s="1"/>
  <c r="V21" i="23" l="1"/>
  <c r="W20" i="23"/>
  <c r="Z20" i="23" s="1"/>
  <c r="G21" i="23"/>
  <c r="H20" i="23"/>
  <c r="K20" i="23" s="1"/>
  <c r="G22" i="23" l="1"/>
  <c r="H21" i="23"/>
  <c r="K21" i="23" s="1"/>
  <c r="V22" i="23"/>
  <c r="W21" i="23"/>
  <c r="Z21" i="23" s="1"/>
  <c r="V23" i="23" l="1"/>
  <c r="W22" i="23"/>
  <c r="Z22" i="23" s="1"/>
  <c r="G23" i="23"/>
  <c r="H22" i="23"/>
  <c r="K22" i="23" s="1"/>
  <c r="G24" i="23" l="1"/>
  <c r="H23" i="23"/>
  <c r="K23" i="23" s="1"/>
  <c r="V24" i="23"/>
  <c r="W23" i="23"/>
  <c r="Z23" i="23" s="1"/>
  <c r="V25" i="23" l="1"/>
  <c r="W24" i="23"/>
  <c r="Z24" i="23" s="1"/>
  <c r="G25" i="23"/>
  <c r="H24" i="23"/>
  <c r="K24" i="23" s="1"/>
  <c r="G26" i="23" l="1"/>
  <c r="H25" i="23"/>
  <c r="K25" i="23" s="1"/>
  <c r="V26" i="23"/>
  <c r="W25" i="23"/>
  <c r="Z25" i="23" s="1"/>
  <c r="V27" i="23" l="1"/>
  <c r="W26" i="23"/>
  <c r="Z26" i="23" s="1"/>
  <c r="G27" i="23"/>
  <c r="H26" i="23"/>
  <c r="K26" i="23" s="1"/>
  <c r="I16" i="23" l="1"/>
  <c r="J16" i="23" s="1"/>
  <c r="N19" i="26" s="1"/>
  <c r="I10" i="23"/>
  <c r="J10" i="23" s="1"/>
  <c r="N13" i="26" s="1"/>
  <c r="I25" i="23"/>
  <c r="J25" i="23" s="1"/>
  <c r="N28" i="26" s="1"/>
  <c r="I14" i="23"/>
  <c r="J14" i="23" s="1"/>
  <c r="N17" i="26" s="1"/>
  <c r="I12" i="23"/>
  <c r="J12" i="23" s="1"/>
  <c r="N15" i="26" s="1"/>
  <c r="I8" i="23"/>
  <c r="J8" i="23" s="1"/>
  <c r="N11" i="26" s="1"/>
  <c r="I7" i="23"/>
  <c r="J7" i="23" s="1"/>
  <c r="N10" i="26" s="1"/>
  <c r="I23" i="23"/>
  <c r="J23" i="23" s="1"/>
  <c r="N26" i="26" s="1"/>
  <c r="I24" i="23"/>
  <c r="J24" i="23" s="1"/>
  <c r="N27" i="26" s="1"/>
  <c r="I21" i="23"/>
  <c r="J21" i="23" s="1"/>
  <c r="N24" i="26" s="1"/>
  <c r="I11" i="23"/>
  <c r="J11" i="23" s="1"/>
  <c r="N14" i="26" s="1"/>
  <c r="I27" i="23"/>
  <c r="I18" i="23"/>
  <c r="J18" i="23" s="1"/>
  <c r="N21" i="26" s="1"/>
  <c r="I17" i="23"/>
  <c r="J17" i="23" s="1"/>
  <c r="N20" i="26" s="1"/>
  <c r="I22" i="23"/>
  <c r="J22" i="23" s="1"/>
  <c r="N25" i="26" s="1"/>
  <c r="I19" i="23"/>
  <c r="J19" i="23" s="1"/>
  <c r="N22" i="26" s="1"/>
  <c r="I26" i="23"/>
  <c r="J26" i="23" s="1"/>
  <c r="N29" i="26" s="1"/>
  <c r="I13" i="23"/>
  <c r="J13" i="23" s="1"/>
  <c r="N16" i="26" s="1"/>
  <c r="I15" i="23"/>
  <c r="J15" i="23" s="1"/>
  <c r="N18" i="26" s="1"/>
  <c r="I9" i="23"/>
  <c r="J9" i="23" s="1"/>
  <c r="N12" i="26" s="1"/>
  <c r="I20" i="23"/>
  <c r="J20" i="23" s="1"/>
  <c r="N23" i="26" s="1"/>
  <c r="G28" i="23"/>
  <c r="H27" i="23"/>
  <c r="K27" i="23" s="1"/>
  <c r="X14" i="23"/>
  <c r="Y14" i="23" s="1"/>
  <c r="P17" i="26" s="1"/>
  <c r="X17" i="23"/>
  <c r="Y17" i="23" s="1"/>
  <c r="P20" i="26" s="1"/>
  <c r="X19" i="23"/>
  <c r="Y19" i="23" s="1"/>
  <c r="P22" i="26" s="1"/>
  <c r="X27" i="23"/>
  <c r="Y27" i="23" s="1"/>
  <c r="P30" i="26" s="1"/>
  <c r="X26" i="23"/>
  <c r="Y26" i="23" s="1"/>
  <c r="P29" i="26" s="1"/>
  <c r="X10" i="23"/>
  <c r="Y10" i="23" s="1"/>
  <c r="P13" i="26" s="1"/>
  <c r="X11" i="23"/>
  <c r="Y11" i="23" s="1"/>
  <c r="P14" i="26" s="1"/>
  <c r="X16" i="23"/>
  <c r="Y16" i="23" s="1"/>
  <c r="P19" i="26" s="1"/>
  <c r="X20" i="23"/>
  <c r="Y20" i="23" s="1"/>
  <c r="P23" i="26" s="1"/>
  <c r="X18" i="23"/>
  <c r="Y18" i="23" s="1"/>
  <c r="P21" i="26" s="1"/>
  <c r="X25" i="23"/>
  <c r="Y25" i="23" s="1"/>
  <c r="P28" i="26" s="1"/>
  <c r="X12" i="23"/>
  <c r="Y12" i="23" s="1"/>
  <c r="P15" i="26" s="1"/>
  <c r="X13" i="23"/>
  <c r="Y13" i="23" s="1"/>
  <c r="P16" i="26" s="1"/>
  <c r="X21" i="23"/>
  <c r="Y21" i="23" s="1"/>
  <c r="P24" i="26" s="1"/>
  <c r="X22" i="23"/>
  <c r="Y22" i="23" s="1"/>
  <c r="P25" i="26" s="1"/>
  <c r="X9" i="23"/>
  <c r="Y9" i="23" s="1"/>
  <c r="P12" i="26" s="1"/>
  <c r="X15" i="23"/>
  <c r="Y15" i="23" s="1"/>
  <c r="P18" i="26" s="1"/>
  <c r="X8" i="23"/>
  <c r="Y8" i="23" s="1"/>
  <c r="P11" i="26" s="1"/>
  <c r="X23" i="23"/>
  <c r="Y23" i="23" s="1"/>
  <c r="P26" i="26" s="1"/>
  <c r="X24" i="23"/>
  <c r="Y24" i="23" s="1"/>
  <c r="P27" i="26" s="1"/>
  <c r="V28" i="23"/>
  <c r="W27" i="23"/>
  <c r="Z27" i="23" s="1"/>
  <c r="O32" i="30" l="1"/>
  <c r="O38" i="30"/>
  <c r="O36" i="30"/>
  <c r="O37" i="30"/>
  <c r="O33" i="30"/>
  <c r="O34" i="30"/>
  <c r="O35" i="30"/>
  <c r="O52" i="30" s="1"/>
  <c r="AA16" i="23"/>
  <c r="AB16" i="23" s="1"/>
  <c r="O19" i="26" s="1"/>
  <c r="E14" i="28" s="1"/>
  <c r="AA11" i="23"/>
  <c r="AB11" i="23" s="1"/>
  <c r="O14" i="26" s="1"/>
  <c r="E9" i="28" s="1"/>
  <c r="AA10" i="23"/>
  <c r="AB10" i="23" s="1"/>
  <c r="O13" i="26" s="1"/>
  <c r="E8" i="28" s="1"/>
  <c r="AA25" i="23"/>
  <c r="AB25" i="23" s="1"/>
  <c r="O28" i="26" s="1"/>
  <c r="E23" i="28" s="1"/>
  <c r="AA12" i="23"/>
  <c r="AB12" i="23" s="1"/>
  <c r="O15" i="26" s="1"/>
  <c r="E10" i="28" s="1"/>
  <c r="AA17" i="23"/>
  <c r="AB17" i="23" s="1"/>
  <c r="O20" i="26" s="1"/>
  <c r="E15" i="28" s="1"/>
  <c r="AA19" i="23"/>
  <c r="AB19" i="23" s="1"/>
  <c r="O22" i="26" s="1"/>
  <c r="E17" i="28" s="1"/>
  <c r="AA23" i="23"/>
  <c r="AB23" i="23" s="1"/>
  <c r="O26" i="26" s="1"/>
  <c r="E21" i="28" s="1"/>
  <c r="AA26" i="23"/>
  <c r="AB26" i="23" s="1"/>
  <c r="O29" i="26" s="1"/>
  <c r="E24" i="28" s="1"/>
  <c r="AA18" i="23"/>
  <c r="AB18" i="23" s="1"/>
  <c r="O21" i="26" s="1"/>
  <c r="E16" i="28" s="1"/>
  <c r="AA21" i="23"/>
  <c r="AB21" i="23" s="1"/>
  <c r="O24" i="26" s="1"/>
  <c r="E19" i="28" s="1"/>
  <c r="AA27" i="23"/>
  <c r="AB27" i="23" s="1"/>
  <c r="O30" i="26" s="1"/>
  <c r="E25" i="28" s="1"/>
  <c r="AA20" i="23"/>
  <c r="AB20" i="23" s="1"/>
  <c r="O23" i="26" s="1"/>
  <c r="E18" i="28" s="1"/>
  <c r="AA8" i="23"/>
  <c r="AB8" i="23" s="1"/>
  <c r="O11" i="26" s="1"/>
  <c r="E6" i="28" s="1"/>
  <c r="AA15" i="23"/>
  <c r="AB15" i="23" s="1"/>
  <c r="O18" i="26" s="1"/>
  <c r="E13" i="28" s="1"/>
  <c r="AA22" i="23"/>
  <c r="AB22" i="23" s="1"/>
  <c r="O25" i="26" s="1"/>
  <c r="E20" i="28" s="1"/>
  <c r="AA14" i="23"/>
  <c r="AB14" i="23" s="1"/>
  <c r="O17" i="26" s="1"/>
  <c r="E12" i="28" s="1"/>
  <c r="AA9" i="23"/>
  <c r="AB9" i="23" s="1"/>
  <c r="O12" i="26" s="1"/>
  <c r="E7" i="28" s="1"/>
  <c r="AA24" i="23"/>
  <c r="AB24" i="23" s="1"/>
  <c r="O27" i="26" s="1"/>
  <c r="E22" i="28" s="1"/>
  <c r="AA13" i="23"/>
  <c r="AB13" i="23" s="1"/>
  <c r="O16" i="26" s="1"/>
  <c r="E11" i="28" s="1"/>
  <c r="J27" i="23"/>
  <c r="N30" i="26" s="1"/>
  <c r="N31" i="26" s="1"/>
  <c r="T16" i="30" s="1"/>
  <c r="X7" i="23"/>
  <c r="Y7" i="23" s="1"/>
  <c r="P10" i="26" s="1"/>
  <c r="P31" i="26" s="1"/>
  <c r="T17" i="30" s="1"/>
  <c r="L13" i="23"/>
  <c r="M13" i="23" s="1"/>
  <c r="M16" i="26" s="1"/>
  <c r="D11" i="28" s="1"/>
  <c r="L9" i="23"/>
  <c r="M9" i="23" s="1"/>
  <c r="M12" i="26" s="1"/>
  <c r="D7" i="28" s="1"/>
  <c r="L26" i="23"/>
  <c r="M26" i="23" s="1"/>
  <c r="M29" i="26" s="1"/>
  <c r="D24" i="28" s="1"/>
  <c r="L17" i="23"/>
  <c r="M17" i="23" s="1"/>
  <c r="M20" i="26" s="1"/>
  <c r="D15" i="28" s="1"/>
  <c r="L11" i="23"/>
  <c r="M11" i="23" s="1"/>
  <c r="M14" i="26" s="1"/>
  <c r="D9" i="28" s="1"/>
  <c r="L24" i="23"/>
  <c r="M24" i="23" s="1"/>
  <c r="M27" i="26" s="1"/>
  <c r="D22" i="28" s="1"/>
  <c r="L14" i="23"/>
  <c r="M14" i="23" s="1"/>
  <c r="M17" i="26" s="1"/>
  <c r="D12" i="28" s="1"/>
  <c r="L22" i="23"/>
  <c r="M22" i="23" s="1"/>
  <c r="M25" i="26" s="1"/>
  <c r="D20" i="28" s="1"/>
  <c r="L18" i="23"/>
  <c r="M18" i="23" s="1"/>
  <c r="M21" i="26" s="1"/>
  <c r="D16" i="28" s="1"/>
  <c r="L23" i="23"/>
  <c r="M23" i="23" s="1"/>
  <c r="M26" i="26" s="1"/>
  <c r="D21" i="28" s="1"/>
  <c r="L19" i="23"/>
  <c r="M19" i="23" s="1"/>
  <c r="M22" i="26" s="1"/>
  <c r="D17" i="28" s="1"/>
  <c r="L27" i="23"/>
  <c r="M27" i="23" s="1"/>
  <c r="L16" i="23"/>
  <c r="M16" i="23" s="1"/>
  <c r="M19" i="26" s="1"/>
  <c r="D14" i="28" s="1"/>
  <c r="L12" i="23"/>
  <c r="M12" i="23" s="1"/>
  <c r="M15" i="26" s="1"/>
  <c r="D10" i="28" s="1"/>
  <c r="L21" i="23"/>
  <c r="M21" i="23" s="1"/>
  <c r="M24" i="26" s="1"/>
  <c r="D19" i="28" s="1"/>
  <c r="L8" i="23"/>
  <c r="M8" i="23" s="1"/>
  <c r="M11" i="26" s="1"/>
  <c r="D6" i="28" s="1"/>
  <c r="L15" i="23"/>
  <c r="M15" i="23" s="1"/>
  <c r="M18" i="26" s="1"/>
  <c r="D13" i="28" s="1"/>
  <c r="L25" i="23"/>
  <c r="M25" i="23" s="1"/>
  <c r="M28" i="26" s="1"/>
  <c r="D23" i="28" s="1"/>
  <c r="L20" i="23"/>
  <c r="M20" i="23" s="1"/>
  <c r="M23" i="26" s="1"/>
  <c r="D18" i="28" s="1"/>
  <c r="L10" i="23"/>
  <c r="M10" i="23" s="1"/>
  <c r="M13" i="26" s="1"/>
  <c r="D8" i="28" s="1"/>
  <c r="N38" i="30" l="1"/>
  <c r="N32" i="30"/>
  <c r="N37" i="30"/>
  <c r="N33" i="30"/>
  <c r="N36" i="30"/>
  <c r="N35" i="30"/>
  <c r="N52" i="30" s="1"/>
  <c r="N34" i="30"/>
  <c r="M38" i="30"/>
  <c r="M32" i="30"/>
  <c r="M36" i="30"/>
  <c r="M33" i="30"/>
  <c r="M37" i="30"/>
  <c r="M34" i="30"/>
  <c r="M35" i="30"/>
  <c r="M52" i="30" s="1"/>
  <c r="T22" i="30"/>
  <c r="Q22" i="30" s="1"/>
  <c r="F21" i="28"/>
  <c r="G21" i="28"/>
  <c r="I20" i="28"/>
  <c r="H20" i="28"/>
  <c r="F16" i="28"/>
  <c r="G16" i="28"/>
  <c r="H13" i="28"/>
  <c r="I13" i="28"/>
  <c r="F20" i="28"/>
  <c r="G20" i="28"/>
  <c r="I6" i="28"/>
  <c r="H6" i="28"/>
  <c r="G12" i="28"/>
  <c r="F12" i="28"/>
  <c r="I18" i="28"/>
  <c r="H18" i="28"/>
  <c r="G22" i="28"/>
  <c r="F22" i="28"/>
  <c r="I25" i="28"/>
  <c r="H25" i="28"/>
  <c r="G9" i="28"/>
  <c r="F9" i="28"/>
  <c r="I19" i="28"/>
  <c r="H19" i="28"/>
  <c r="F8" i="28"/>
  <c r="G8" i="28"/>
  <c r="G15" i="28"/>
  <c r="F15" i="28"/>
  <c r="I16" i="28"/>
  <c r="H16" i="28"/>
  <c r="F24" i="28"/>
  <c r="G24" i="28"/>
  <c r="H24" i="28"/>
  <c r="I24" i="28"/>
  <c r="G23" i="28"/>
  <c r="F23" i="28"/>
  <c r="F7" i="28"/>
  <c r="G7" i="28"/>
  <c r="I21" i="28"/>
  <c r="H21" i="28"/>
  <c r="F11" i="28"/>
  <c r="G11" i="28"/>
  <c r="I17" i="28"/>
  <c r="H17" i="28"/>
  <c r="I15" i="28"/>
  <c r="H15" i="28"/>
  <c r="G19" i="28"/>
  <c r="F19" i="28"/>
  <c r="H10" i="28"/>
  <c r="I10" i="28"/>
  <c r="F18" i="28"/>
  <c r="G18" i="28"/>
  <c r="H11" i="28"/>
  <c r="I11" i="28"/>
  <c r="I23" i="28"/>
  <c r="H23" i="28"/>
  <c r="G10" i="28"/>
  <c r="F10" i="28"/>
  <c r="I22" i="28"/>
  <c r="H22" i="28"/>
  <c r="H8" i="28"/>
  <c r="I8" i="28"/>
  <c r="F6" i="28"/>
  <c r="G6" i="28"/>
  <c r="I7" i="28"/>
  <c r="H7" i="28"/>
  <c r="I9" i="28"/>
  <c r="H9" i="28"/>
  <c r="F13" i="28"/>
  <c r="G13" i="28"/>
  <c r="F14" i="28"/>
  <c r="G14" i="28"/>
  <c r="M30" i="26"/>
  <c r="D25" i="28" s="1"/>
  <c r="AA7" i="23"/>
  <c r="AB7" i="23" s="1"/>
  <c r="O10" i="26" s="1"/>
  <c r="L7" i="23"/>
  <c r="M7" i="23" s="1"/>
  <c r="M10" i="26" s="1"/>
  <c r="F17" i="28"/>
  <c r="G17" i="28"/>
  <c r="H12" i="28"/>
  <c r="I12" i="28"/>
  <c r="I14" i="28"/>
  <c r="H14" i="28"/>
  <c r="E5" i="28" l="1"/>
  <c r="E26" i="28" s="1"/>
  <c r="O31" i="26"/>
  <c r="D5" i="28"/>
  <c r="M31" i="26"/>
  <c r="Q21" i="30"/>
  <c r="Q19" i="30"/>
  <c r="Q23" i="30"/>
  <c r="Q24" i="30"/>
  <c r="Q18" i="30"/>
  <c r="Q17" i="30"/>
  <c r="Q16" i="30"/>
  <c r="Q20" i="30"/>
  <c r="G25" i="28"/>
  <c r="F25" i="28"/>
  <c r="I5" i="28" l="1"/>
  <c r="H5" i="28"/>
  <c r="Q18" i="28"/>
  <c r="AE20" i="30" s="1"/>
  <c r="Q19" i="28"/>
  <c r="AE21" i="30" s="1"/>
  <c r="G5" i="28"/>
  <c r="D26" i="28"/>
  <c r="F5" i="28"/>
  <c r="H26" i="28"/>
  <c r="F26" i="28"/>
  <c r="L10" i="28" s="1"/>
  <c r="Y6" i="30" s="1"/>
  <c r="I26" i="28"/>
  <c r="G26" i="28"/>
  <c r="N56" i="30" l="1"/>
  <c r="N54" i="30"/>
  <c r="N53" i="30"/>
  <c r="N55" i="30"/>
  <c r="N48" i="30"/>
  <c r="N50" i="30"/>
  <c r="N49" i="30"/>
  <c r="N51" i="30"/>
  <c r="Q10" i="28"/>
  <c r="Y20" i="30" s="1"/>
  <c r="Q11" i="28"/>
  <c r="Y21" i="30" s="1"/>
  <c r="O48" i="30"/>
  <c r="O51" i="30"/>
  <c r="O50" i="30"/>
  <c r="O49" i="30"/>
  <c r="B36" i="27"/>
  <c r="O10" i="28"/>
  <c r="N10" i="28"/>
  <c r="B36" i="29"/>
  <c r="N18" i="28"/>
  <c r="AE13" i="30" s="1"/>
  <c r="O18" i="28"/>
  <c r="AE14" i="30" s="1"/>
  <c r="B4" i="27"/>
  <c r="M10" i="28"/>
  <c r="Y7" i="30" s="1"/>
  <c r="B4" i="29"/>
  <c r="M18" i="28"/>
  <c r="AE7" i="30" s="1"/>
  <c r="L18" i="28"/>
  <c r="AE6" i="30" s="1"/>
  <c r="M56" i="30" l="1"/>
  <c r="M55" i="30"/>
  <c r="M53" i="30"/>
  <c r="M54" i="30"/>
  <c r="M48" i="30"/>
  <c r="M51" i="30"/>
  <c r="M49" i="30"/>
  <c r="M50" i="30"/>
  <c r="R56" i="30"/>
  <c r="R55" i="30"/>
  <c r="R54" i="30"/>
  <c r="R53" i="30"/>
  <c r="R48" i="30"/>
  <c r="R49" i="30"/>
  <c r="R51" i="30"/>
  <c r="R50" i="30"/>
  <c r="P56" i="30"/>
  <c r="P55" i="30"/>
  <c r="P54" i="30"/>
  <c r="P53" i="30"/>
  <c r="P48" i="30"/>
  <c r="P49" i="30"/>
  <c r="P51" i="30"/>
  <c r="P50" i="30"/>
  <c r="Y14" i="30"/>
  <c r="Q56" i="30" s="1"/>
  <c r="Y13" i="30"/>
  <c r="Q51" i="30" s="1"/>
  <c r="O56" i="30"/>
  <c r="O55" i="30"/>
  <c r="O54" i="30"/>
  <c r="O53" i="30"/>
  <c r="D11" i="27"/>
  <c r="E11" i="27" s="1"/>
  <c r="D23" i="27"/>
  <c r="E23" i="27" s="1"/>
  <c r="D15" i="27"/>
  <c r="E15" i="27" s="1"/>
  <c r="D27" i="27"/>
  <c r="E27" i="27" s="1"/>
  <c r="D17" i="27"/>
  <c r="E17" i="27" s="1"/>
  <c r="D25" i="27"/>
  <c r="E25" i="27" s="1"/>
  <c r="D14" i="27"/>
  <c r="E14" i="27" s="1"/>
  <c r="D26" i="27"/>
  <c r="E26" i="27" s="1"/>
  <c r="D20" i="27"/>
  <c r="E20" i="27" s="1"/>
  <c r="D22" i="27"/>
  <c r="E22" i="27" s="1"/>
  <c r="D19" i="27"/>
  <c r="E19" i="27" s="1"/>
  <c r="D12" i="27"/>
  <c r="E12" i="27" s="1"/>
  <c r="D21" i="27"/>
  <c r="E21" i="27" s="1"/>
  <c r="D13" i="27"/>
  <c r="E13" i="27" s="1"/>
  <c r="D28" i="27"/>
  <c r="E28" i="27" s="1"/>
  <c r="D29" i="27"/>
  <c r="E29" i="27" s="1"/>
  <c r="D30" i="27"/>
  <c r="E30" i="27" s="1"/>
  <c r="D16" i="27"/>
  <c r="E16" i="27" s="1"/>
  <c r="D24" i="27"/>
  <c r="E24" i="27" s="1"/>
  <c r="D18" i="27"/>
  <c r="E18" i="27" s="1"/>
  <c r="D31" i="27"/>
  <c r="E31" i="27" s="1"/>
  <c r="D62" i="29"/>
  <c r="E62" i="29" s="1"/>
  <c r="D57" i="29"/>
  <c r="E57" i="29" s="1"/>
  <c r="D51" i="29"/>
  <c r="E51" i="29" s="1"/>
  <c r="D52" i="29"/>
  <c r="E52" i="29" s="1"/>
  <c r="D46" i="29"/>
  <c r="E46" i="29" s="1"/>
  <c r="D48" i="29"/>
  <c r="E48" i="29" s="1"/>
  <c r="D53" i="29"/>
  <c r="E53" i="29" s="1"/>
  <c r="D56" i="29"/>
  <c r="E56" i="29" s="1"/>
  <c r="D47" i="29"/>
  <c r="E47" i="29" s="1"/>
  <c r="D61" i="29"/>
  <c r="E61" i="29" s="1"/>
  <c r="D60" i="29"/>
  <c r="E60" i="29" s="1"/>
  <c r="D58" i="29"/>
  <c r="E58" i="29" s="1"/>
  <c r="D59" i="29"/>
  <c r="E59" i="29" s="1"/>
  <c r="D50" i="29"/>
  <c r="E50" i="29" s="1"/>
  <c r="D55" i="29"/>
  <c r="E55" i="29" s="1"/>
  <c r="D54" i="29"/>
  <c r="E54" i="29" s="1"/>
  <c r="D49" i="29"/>
  <c r="E49" i="29" s="1"/>
  <c r="D45" i="29"/>
  <c r="E45" i="29" s="1"/>
  <c r="D43" i="29"/>
  <c r="E43" i="29" s="1"/>
  <c r="D44" i="29"/>
  <c r="E44" i="29" s="1"/>
  <c r="D42" i="29"/>
  <c r="E42" i="29" s="1"/>
  <c r="D14" i="29"/>
  <c r="E14" i="29" s="1"/>
  <c r="D16" i="29"/>
  <c r="E16" i="29" s="1"/>
  <c r="D30" i="29"/>
  <c r="E30" i="29" s="1"/>
  <c r="D17" i="29"/>
  <c r="E17" i="29" s="1"/>
  <c r="D18" i="29"/>
  <c r="E18" i="29" s="1"/>
  <c r="D15" i="29"/>
  <c r="E15" i="29" s="1"/>
  <c r="D26" i="29"/>
  <c r="E26" i="29" s="1"/>
  <c r="D28" i="29"/>
  <c r="E28" i="29" s="1"/>
  <c r="D13" i="29"/>
  <c r="E13" i="29" s="1"/>
  <c r="D24" i="29"/>
  <c r="E24" i="29" s="1"/>
  <c r="D23" i="29"/>
  <c r="E23" i="29" s="1"/>
  <c r="D29" i="29"/>
  <c r="E29" i="29" s="1"/>
  <c r="D27" i="29"/>
  <c r="E27" i="29" s="1"/>
  <c r="D19" i="29"/>
  <c r="E19" i="29" s="1"/>
  <c r="D12" i="29"/>
  <c r="E12" i="29" s="1"/>
  <c r="D25" i="29"/>
  <c r="E25" i="29" s="1"/>
  <c r="D31" i="29"/>
  <c r="E31" i="29" s="1"/>
  <c r="D21" i="29"/>
  <c r="E21" i="29" s="1"/>
  <c r="D22" i="29"/>
  <c r="E22" i="29" s="1"/>
  <c r="D20" i="29"/>
  <c r="E20" i="29" s="1"/>
  <c r="D11" i="29"/>
  <c r="E11" i="29" s="1"/>
  <c r="D42" i="27"/>
  <c r="E42" i="27" s="1"/>
  <c r="D45" i="27"/>
  <c r="E45" i="27" s="1"/>
  <c r="D44" i="27"/>
  <c r="E44" i="27" s="1"/>
  <c r="D57" i="27"/>
  <c r="E57" i="27" s="1"/>
  <c r="D58" i="27"/>
  <c r="E58" i="27" s="1"/>
  <c r="D50" i="27"/>
  <c r="E50" i="27" s="1"/>
  <c r="D54" i="27"/>
  <c r="E54" i="27" s="1"/>
  <c r="D43" i="27"/>
  <c r="E43" i="27" s="1"/>
  <c r="D53" i="27"/>
  <c r="E53" i="27" s="1"/>
  <c r="D59" i="27"/>
  <c r="E59" i="27" s="1"/>
  <c r="D49" i="27"/>
  <c r="E49" i="27" s="1"/>
  <c r="D47" i="27"/>
  <c r="E47" i="27" s="1"/>
  <c r="D61" i="27"/>
  <c r="E61" i="27" s="1"/>
  <c r="D55" i="27"/>
  <c r="E55" i="27" s="1"/>
  <c r="D48" i="27"/>
  <c r="E48" i="27" s="1"/>
  <c r="D56" i="27"/>
  <c r="E56" i="27" s="1"/>
  <c r="D46" i="27"/>
  <c r="E46" i="27" s="1"/>
  <c r="D51" i="27"/>
  <c r="E51" i="27" s="1"/>
  <c r="D52" i="27"/>
  <c r="E52" i="27" s="1"/>
  <c r="D60" i="27"/>
  <c r="E60" i="27" s="1"/>
  <c r="D62" i="27"/>
  <c r="E62" i="27" s="1"/>
  <c r="Q49" i="30" l="1"/>
  <c r="Q48" i="30"/>
  <c r="Q54" i="30"/>
  <c r="Q53" i="30"/>
  <c r="Q50" i="30"/>
  <c r="Q55" i="30"/>
  <c r="F12" i="27"/>
  <c r="G12" i="27" s="1"/>
  <c r="F43" i="29"/>
  <c r="G43" i="29" s="1"/>
  <c r="F12" i="29"/>
  <c r="G12" i="29" s="1"/>
  <c r="F43" i="27"/>
  <c r="G43" i="27" s="1"/>
  <c r="F13" i="27" l="1"/>
  <c r="G13" i="27" s="1"/>
  <c r="F13" i="29"/>
  <c r="G13" i="29" s="1"/>
  <c r="F44" i="29"/>
  <c r="F44" i="27"/>
  <c r="F14" i="27" l="1"/>
  <c r="G14" i="27" s="1"/>
  <c r="F14" i="29"/>
  <c r="G14" i="29" s="1"/>
  <c r="G44" i="29"/>
  <c r="F45" i="29"/>
  <c r="G44" i="27"/>
  <c r="F45" i="27"/>
  <c r="F15" i="27" l="1"/>
  <c r="G15" i="27" s="1"/>
  <c r="F15" i="29"/>
  <c r="G15" i="29" s="1"/>
  <c r="G45" i="29"/>
  <c r="F46" i="29"/>
  <c r="G45" i="27"/>
  <c r="F46" i="27"/>
  <c r="F16" i="27" l="1"/>
  <c r="F17" i="27" s="1"/>
  <c r="F18" i="27" s="1"/>
  <c r="F19" i="27" s="1"/>
  <c r="F16" i="29"/>
  <c r="G16" i="29" s="1"/>
  <c r="G46" i="29"/>
  <c r="F47" i="29"/>
  <c r="G46" i="27"/>
  <c r="F47" i="27"/>
  <c r="G16" i="27" l="1"/>
  <c r="G17" i="27" s="1"/>
  <c r="G18" i="27" s="1"/>
  <c r="G19" i="27" s="1"/>
  <c r="F17" i="29"/>
  <c r="G17" i="29" s="1"/>
  <c r="G47" i="29"/>
  <c r="F48" i="29"/>
  <c r="F20" i="27"/>
  <c r="G47" i="27"/>
  <c r="F48" i="27"/>
  <c r="F18" i="29" l="1"/>
  <c r="G18" i="29" s="1"/>
  <c r="G48" i="29"/>
  <c r="F49" i="29"/>
  <c r="G48" i="27"/>
  <c r="F49" i="27"/>
  <c r="G20" i="27"/>
  <c r="F21" i="27"/>
  <c r="F19" i="29" l="1"/>
  <c r="G19" i="29" s="1"/>
  <c r="G49" i="29"/>
  <c r="F50" i="29"/>
  <c r="G21" i="27"/>
  <c r="F22" i="27"/>
  <c r="F50" i="27"/>
  <c r="F51" i="27" s="1"/>
  <c r="G49" i="27"/>
  <c r="F20" i="29" l="1"/>
  <c r="G20" i="29" s="1"/>
  <c r="G50" i="29"/>
  <c r="F51" i="29"/>
  <c r="G50" i="27"/>
  <c r="G51" i="27" s="1"/>
  <c r="F52" i="27"/>
  <c r="G22" i="27"/>
  <c r="F23" i="27"/>
  <c r="F21" i="29" l="1"/>
  <c r="F22" i="29" s="1"/>
  <c r="G51" i="29"/>
  <c r="F52" i="29"/>
  <c r="G52" i="27"/>
  <c r="F53" i="27"/>
  <c r="G23" i="27"/>
  <c r="F24" i="27"/>
  <c r="G21" i="29" l="1"/>
  <c r="G22" i="29" s="1"/>
  <c r="F53" i="29"/>
  <c r="G52" i="29"/>
  <c r="F23" i="29"/>
  <c r="G24" i="27"/>
  <c r="F25" i="27"/>
  <c r="G53" i="27"/>
  <c r="F54" i="27"/>
  <c r="F54" i="29" l="1"/>
  <c r="G53" i="29"/>
  <c r="G25" i="27"/>
  <c r="F26" i="27"/>
  <c r="G54" i="27"/>
  <c r="F55" i="27"/>
  <c r="G23" i="29"/>
  <c r="F24" i="29"/>
  <c r="G54" i="29" l="1"/>
  <c r="F55" i="29"/>
  <c r="G24" i="29"/>
  <c r="F25" i="29"/>
  <c r="G55" i="27"/>
  <c r="F56" i="27"/>
  <c r="G26" i="27"/>
  <c r="F27" i="27"/>
  <c r="G55" i="29" l="1"/>
  <c r="F56" i="29"/>
  <c r="G27" i="27"/>
  <c r="F28" i="27"/>
  <c r="G56" i="27"/>
  <c r="F57" i="27"/>
  <c r="G25" i="29"/>
  <c r="F26" i="29"/>
  <c r="G56" i="29" l="1"/>
  <c r="F57" i="29"/>
  <c r="G26" i="29"/>
  <c r="F27" i="29"/>
  <c r="G28" i="27"/>
  <c r="F29" i="27"/>
  <c r="G57" i="27"/>
  <c r="F58" i="27"/>
  <c r="G57" i="29" l="1"/>
  <c r="F58" i="29"/>
  <c r="G58" i="27"/>
  <c r="F59" i="27"/>
  <c r="G29" i="27"/>
  <c r="F30" i="27"/>
  <c r="G27" i="29"/>
  <c r="F28" i="29"/>
  <c r="G58" i="29" l="1"/>
  <c r="F59" i="29"/>
  <c r="G28" i="29"/>
  <c r="F29" i="29"/>
  <c r="G30" i="27"/>
  <c r="F31" i="27"/>
  <c r="G59" i="27"/>
  <c r="F60" i="27"/>
  <c r="G31" i="27" l="1"/>
  <c r="H17" i="27" s="1"/>
  <c r="F60" i="29"/>
  <c r="G59" i="29"/>
  <c r="G60" i="27"/>
  <c r="F61" i="27"/>
  <c r="G29" i="29"/>
  <c r="F30" i="29"/>
  <c r="H22" i="27" l="1"/>
  <c r="I22" i="27" s="1"/>
  <c r="J22" i="27" s="1"/>
  <c r="H21" i="27"/>
  <c r="I21" i="27" s="1"/>
  <c r="J21" i="27" s="1"/>
  <c r="H20" i="27"/>
  <c r="I20" i="27" s="1"/>
  <c r="J20" i="27" s="1"/>
  <c r="H19" i="27"/>
  <c r="I19" i="27" s="1"/>
  <c r="J19" i="27" s="1"/>
  <c r="H18" i="27"/>
  <c r="I18" i="27" s="1"/>
  <c r="J18" i="27" s="1"/>
  <c r="H16" i="27"/>
  <c r="I16" i="27" s="1"/>
  <c r="J16" i="27" s="1"/>
  <c r="H15" i="27"/>
  <c r="I15" i="27" s="1"/>
  <c r="J15" i="27" s="1"/>
  <c r="H14" i="27"/>
  <c r="I14" i="27" s="1"/>
  <c r="J14" i="27" s="1"/>
  <c r="H12" i="27"/>
  <c r="I12" i="27" s="1"/>
  <c r="J12" i="27" s="1"/>
  <c r="H30" i="27"/>
  <c r="I30" i="27" s="1"/>
  <c r="J30" i="27" s="1"/>
  <c r="H28" i="27"/>
  <c r="I28" i="27" s="1"/>
  <c r="J28" i="27" s="1"/>
  <c r="H27" i="27"/>
  <c r="I27" i="27" s="1"/>
  <c r="J27" i="27" s="1"/>
  <c r="I17" i="27"/>
  <c r="J17" i="27" s="1"/>
  <c r="H13" i="27"/>
  <c r="H11" i="27"/>
  <c r="H31" i="27"/>
  <c r="H26" i="27"/>
  <c r="H29" i="27"/>
  <c r="H25" i="27"/>
  <c r="H24" i="27"/>
  <c r="H23" i="27"/>
  <c r="G60" i="29"/>
  <c r="F61" i="29"/>
  <c r="G30" i="29"/>
  <c r="F31" i="29"/>
  <c r="G61" i="27"/>
  <c r="F62" i="27"/>
  <c r="I13" i="27" l="1"/>
  <c r="J13" i="27" s="1"/>
  <c r="I31" i="27"/>
  <c r="J31" i="27" s="1"/>
  <c r="I25" i="27"/>
  <c r="J25" i="27" s="1"/>
  <c r="I29" i="27"/>
  <c r="J29" i="27" s="1"/>
  <c r="I26" i="27"/>
  <c r="J26" i="27" s="1"/>
  <c r="I23" i="27"/>
  <c r="J23" i="27" s="1"/>
  <c r="I24" i="27"/>
  <c r="J24" i="27" s="1"/>
  <c r="I11" i="27"/>
  <c r="J11" i="27" s="1"/>
  <c r="G61" i="29"/>
  <c r="F62" i="29"/>
  <c r="G62" i="27"/>
  <c r="H55" i="27" s="1"/>
  <c r="G31" i="29"/>
  <c r="H29" i="29" s="1"/>
  <c r="I29" i="29" s="1"/>
  <c r="H47" i="27" l="1"/>
  <c r="I47" i="27" s="1"/>
  <c r="J47" i="27" s="1"/>
  <c r="J29" i="29"/>
  <c r="I55" i="27"/>
  <c r="J55" i="27" s="1"/>
  <c r="H15" i="29"/>
  <c r="I15" i="29" s="1"/>
  <c r="H51" i="27"/>
  <c r="H50" i="27"/>
  <c r="H49" i="27"/>
  <c r="H48" i="27"/>
  <c r="H46" i="27"/>
  <c r="H45" i="27"/>
  <c r="H44" i="27"/>
  <c r="H43" i="27"/>
  <c r="H62" i="27"/>
  <c r="H42" i="27"/>
  <c r="H28" i="29"/>
  <c r="I28" i="29" s="1"/>
  <c r="H23" i="29"/>
  <c r="I23" i="29" s="1"/>
  <c r="H16" i="29"/>
  <c r="I16" i="29" s="1"/>
  <c r="H18" i="29"/>
  <c r="I18" i="29" s="1"/>
  <c r="H27" i="29"/>
  <c r="I27" i="29" s="1"/>
  <c r="H22" i="29"/>
  <c r="I22" i="29" s="1"/>
  <c r="H17" i="29"/>
  <c r="I17" i="29" s="1"/>
  <c r="G62" i="29"/>
  <c r="H59" i="29" s="1"/>
  <c r="H60" i="27"/>
  <c r="H14" i="29"/>
  <c r="I14" i="29" s="1"/>
  <c r="H12" i="29"/>
  <c r="I12" i="29" s="1"/>
  <c r="H31" i="29"/>
  <c r="I31" i="29" s="1"/>
  <c r="H13" i="29"/>
  <c r="I13" i="29" s="1"/>
  <c r="H11" i="29"/>
  <c r="H20" i="29"/>
  <c r="I20" i="29" s="1"/>
  <c r="H30" i="29"/>
  <c r="I30" i="29" s="1"/>
  <c r="H59" i="27"/>
  <c r="H61" i="27"/>
  <c r="H58" i="27"/>
  <c r="H26" i="29"/>
  <c r="I26" i="29" s="1"/>
  <c r="H25" i="29"/>
  <c r="I25" i="29" s="1"/>
  <c r="H57" i="27"/>
  <c r="H24" i="29"/>
  <c r="I24" i="29" s="1"/>
  <c r="H56" i="27"/>
  <c r="H54" i="27"/>
  <c r="H21" i="29"/>
  <c r="I21" i="29" s="1"/>
  <c r="H53" i="27"/>
  <c r="H52" i="27"/>
  <c r="H19" i="29"/>
  <c r="I19" i="29" s="1"/>
  <c r="I59" i="29" l="1"/>
  <c r="J59" i="29" s="1"/>
  <c r="J28" i="29"/>
  <c r="J19" i="29"/>
  <c r="J27" i="29"/>
  <c r="J30" i="29"/>
  <c r="J21" i="29"/>
  <c r="J17" i="29"/>
  <c r="J18" i="29"/>
  <c r="J20" i="29"/>
  <c r="J12" i="29"/>
  <c r="J24" i="29"/>
  <c r="J22" i="29"/>
  <c r="J25" i="29"/>
  <c r="J26" i="29"/>
  <c r="J16" i="29"/>
  <c r="J13" i="29"/>
  <c r="J31" i="29"/>
  <c r="J14" i="29"/>
  <c r="J15" i="29"/>
  <c r="J23" i="29"/>
  <c r="I11" i="29"/>
  <c r="J11" i="29" s="1"/>
  <c r="I46" i="27"/>
  <c r="J46" i="27" s="1"/>
  <c r="I59" i="27"/>
  <c r="J59" i="27" s="1"/>
  <c r="I53" i="27"/>
  <c r="J53" i="27" s="1"/>
  <c r="I48" i="27"/>
  <c r="J48" i="27" s="1"/>
  <c r="I60" i="27"/>
  <c r="J60" i="27" s="1"/>
  <c r="I50" i="27"/>
  <c r="J50" i="27" s="1"/>
  <c r="I57" i="27"/>
  <c r="J57" i="27" s="1"/>
  <c r="I44" i="27"/>
  <c r="J44" i="27" s="1"/>
  <c r="I56" i="27"/>
  <c r="J56" i="27" s="1"/>
  <c r="I52" i="27"/>
  <c r="J52" i="27" s="1"/>
  <c r="I54" i="27"/>
  <c r="J54" i="27" s="1"/>
  <c r="I62" i="27"/>
  <c r="J62" i="27" s="1"/>
  <c r="I51" i="27"/>
  <c r="J51" i="27" s="1"/>
  <c r="I58" i="27"/>
  <c r="J58" i="27" s="1"/>
  <c r="I43" i="27"/>
  <c r="J43" i="27" s="1"/>
  <c r="I45" i="27"/>
  <c r="J45" i="27" s="1"/>
  <c r="I49" i="27"/>
  <c r="J49" i="27" s="1"/>
  <c r="I61" i="27"/>
  <c r="J61" i="27" s="1"/>
  <c r="I42" i="27"/>
  <c r="J42" i="27" s="1"/>
  <c r="H54" i="29"/>
  <c r="H52" i="29"/>
  <c r="H53" i="29"/>
  <c r="H44" i="29"/>
  <c r="H45" i="29"/>
  <c r="H61" i="29"/>
  <c r="H58" i="29"/>
  <c r="H56" i="29"/>
  <c r="H51" i="29"/>
  <c r="H46" i="29"/>
  <c r="H42" i="29"/>
  <c r="H57" i="29"/>
  <c r="H62" i="29"/>
  <c r="H55" i="29"/>
  <c r="H50" i="29"/>
  <c r="H47" i="29"/>
  <c r="H49" i="29"/>
  <c r="H43" i="29"/>
  <c r="H48" i="29"/>
  <c r="H60" i="29"/>
  <c r="I61" i="29" l="1"/>
  <c r="J61" i="29" s="1"/>
  <c r="I53" i="29"/>
  <c r="J53" i="29" s="1"/>
  <c r="I45" i="29"/>
  <c r="J45" i="29" s="1"/>
  <c r="I50" i="29"/>
  <c r="J50" i="29" s="1"/>
  <c r="I44" i="29"/>
  <c r="J44" i="29" s="1"/>
  <c r="I62" i="29"/>
  <c r="J62" i="29" s="1"/>
  <c r="I57" i="29"/>
  <c r="J57" i="29" s="1"/>
  <c r="I58" i="29"/>
  <c r="J58" i="29" s="1"/>
  <c r="I54" i="29"/>
  <c r="J54" i="29" s="1"/>
  <c r="I46" i="29"/>
  <c r="J46" i="29" s="1"/>
  <c r="I60" i="29"/>
  <c r="J60" i="29" s="1"/>
  <c r="I48" i="29"/>
  <c r="J48" i="29" s="1"/>
  <c r="I52" i="29"/>
  <c r="J52" i="29" s="1"/>
  <c r="I49" i="29"/>
  <c r="J49" i="29" s="1"/>
  <c r="I43" i="29"/>
  <c r="J43" i="29" s="1"/>
  <c r="I47" i="29"/>
  <c r="J47" i="29" s="1"/>
  <c r="I55" i="29"/>
  <c r="J55" i="29" s="1"/>
  <c r="I51" i="29"/>
  <c r="J51" i="29" s="1"/>
  <c r="I56" i="29"/>
  <c r="J56" i="29" s="1"/>
  <c r="I42" i="29"/>
  <c r="J42" i="29" s="1"/>
  <c r="T52" i="7" l="1"/>
  <c r="O10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<sst xmlns="http://schemas.openxmlformats.org/spreadsheetml/2006/main" count="2314" uniqueCount="708">
  <si>
    <t>Cb</t>
  </si>
  <si>
    <t>LCB</t>
  </si>
  <si>
    <t>A</t>
  </si>
  <si>
    <t>Dados</t>
  </si>
  <si>
    <t>LBP</t>
  </si>
  <si>
    <t>D</t>
  </si>
  <si>
    <t>d</t>
  </si>
  <si>
    <t>LE</t>
  </si>
  <si>
    <t>LX</t>
  </si>
  <si>
    <t>a</t>
  </si>
  <si>
    <t>b</t>
  </si>
  <si>
    <t>LR</t>
  </si>
  <si>
    <t>LBP/20</t>
  </si>
  <si>
    <t>CM</t>
  </si>
  <si>
    <t>Cpe/Cpr</t>
  </si>
  <si>
    <t xml:space="preserve">Interpolação </t>
  </si>
  <si>
    <t>Cpe</t>
  </si>
  <si>
    <t>Cpr</t>
  </si>
  <si>
    <t>Kt</t>
  </si>
  <si>
    <t>R</t>
  </si>
  <si>
    <t>0.075d</t>
  </si>
  <si>
    <t>0.25d</t>
  </si>
  <si>
    <t>0.5d</t>
  </si>
  <si>
    <t>0.75d</t>
  </si>
  <si>
    <t>1d</t>
  </si>
  <si>
    <t>1.25d</t>
  </si>
  <si>
    <t>1.5d</t>
  </si>
  <si>
    <t>E-9</t>
  </si>
  <si>
    <t>E-8</t>
  </si>
  <si>
    <t>E-7</t>
  </si>
  <si>
    <t>E-6</t>
  </si>
  <si>
    <t>E-5</t>
  </si>
  <si>
    <t>E-4</t>
  </si>
  <si>
    <t>E-3</t>
  </si>
  <si>
    <t>E-2</t>
  </si>
  <si>
    <t>E-1</t>
  </si>
  <si>
    <t>FP</t>
  </si>
  <si>
    <t>R/T</t>
  </si>
  <si>
    <t>AP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</si>
  <si>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</si>
  <si>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</si>
  <si>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</si>
  <si>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</si>
  <si>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</si>
  <si>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</si>
  <si>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</si>
  <si>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</si>
  <si>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</si>
  <si>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B [m]</t>
  </si>
  <si>
    <t>B/2 [m]</t>
  </si>
  <si>
    <t>Le</t>
  </si>
  <si>
    <t>Lr</t>
  </si>
  <si>
    <t>Lx</t>
  </si>
  <si>
    <t>Tabela Multiplicada por B/2</t>
  </si>
  <si>
    <t>X[m]</t>
  </si>
  <si>
    <t>T [m9]</t>
  </si>
  <si>
    <t>Minuta do Traçado</t>
  </si>
  <si>
    <t>Waterlines[m]</t>
  </si>
  <si>
    <t>Stations</t>
  </si>
  <si>
    <t>X [m]</t>
  </si>
  <si>
    <t>B1 [m]</t>
  </si>
  <si>
    <t>B2 [m]</t>
  </si>
  <si>
    <t>d [m]</t>
  </si>
  <si>
    <t>D [m]</t>
  </si>
  <si>
    <t>H [m]</t>
  </si>
  <si>
    <t>H1 [m]</t>
  </si>
  <si>
    <t>H2 [m]</t>
  </si>
  <si>
    <t>C1 &lt;</t>
  </si>
  <si>
    <t>C1max [m]</t>
  </si>
  <si>
    <t>D-H2-H1</t>
  </si>
  <si>
    <t>δb</t>
  </si>
  <si>
    <t>δdb</t>
  </si>
  <si>
    <t>δbt</t>
  </si>
  <si>
    <t>δ1</t>
  </si>
  <si>
    <t>δ2</t>
  </si>
  <si>
    <t>δ4</t>
  </si>
  <si>
    <t>δ5</t>
  </si>
  <si>
    <t>t2</t>
  </si>
  <si>
    <t>t3</t>
  </si>
  <si>
    <t>t4</t>
  </si>
  <si>
    <t>t5</t>
  </si>
  <si>
    <r>
      <rPr>
        <sz val="11"/>
        <color theme="0"/>
        <rFont val="Aptos Narrow"/>
        <family val="2"/>
      </rPr>
      <t>δ</t>
    </r>
    <r>
      <rPr>
        <sz val="11.1"/>
        <color theme="0"/>
        <rFont val="Aptos Narrow"/>
        <family val="2"/>
      </rPr>
      <t>d</t>
    </r>
  </si>
  <si>
    <t>Wdeck</t>
  </si>
  <si>
    <t>Wbottom</t>
  </si>
  <si>
    <t>c</t>
  </si>
  <si>
    <t>area</t>
  </si>
  <si>
    <t>z</t>
  </si>
  <si>
    <t>Io</t>
  </si>
  <si>
    <t>A*z</t>
  </si>
  <si>
    <t>A*Z^2</t>
  </si>
  <si>
    <t>Izz</t>
  </si>
  <si>
    <t>Chapa</t>
  </si>
  <si>
    <t>ZNA</t>
  </si>
  <si>
    <t>INA</t>
  </si>
  <si>
    <t>k</t>
  </si>
  <si>
    <t>Diff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</si>
  <si>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</si>
  <si>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</si>
  <si>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</si>
  <si>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</si>
  <si>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</si>
  <si>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</si>
  <si>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</si>
  <si>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</si>
  <si>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</si>
  <si>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</si>
  <si>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</si>
  <si>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</si>
  <si>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</si>
  <si>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</si>
  <si>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</si>
  <si>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</si>
  <si>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</si>
  <si>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</si>
  <si>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</si>
  <si>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</si>
  <si>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</si>
  <si>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</si>
  <si>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</si>
  <si>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</si>
  <si>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</si>
  <si>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δ (m)</t>
  </si>
  <si>
    <t>Total</t>
  </si>
  <si>
    <t>-</t>
  </si>
  <si>
    <t>Wmin</t>
  </si>
  <si>
    <t>C□</t>
  </si>
  <si>
    <t>Lf</t>
  </si>
  <si>
    <t>Li</t>
  </si>
  <si>
    <t>Ler</t>
  </si>
  <si>
    <t>La</t>
  </si>
  <si>
    <t>Min</t>
  </si>
  <si>
    <t>Max p</t>
  </si>
  <si>
    <t>Distribuição dos vários Espaços Longitodinais ao longo de 21 Secções</t>
  </si>
  <si>
    <t>[AP:S1]</t>
  </si>
  <si>
    <t>[S1:S2]</t>
  </si>
  <si>
    <t>[S2:S3]</t>
  </si>
  <si>
    <t>[S3:S4]</t>
  </si>
  <si>
    <t>[S4:S5]</t>
  </si>
  <si>
    <t>[S5:S6]</t>
  </si>
  <si>
    <t>[S6:S7]</t>
  </si>
  <si>
    <t>[S7:S8]</t>
  </si>
  <si>
    <t>[S8:S9]</t>
  </si>
  <si>
    <t>[S9:S10]</t>
  </si>
  <si>
    <t>[S10:S11]</t>
  </si>
  <si>
    <t>[S11:S12]</t>
  </si>
  <si>
    <t>[S12:S13]</t>
  </si>
  <si>
    <t>[S13:S14]</t>
  </si>
  <si>
    <t>[S14:S15]</t>
  </si>
  <si>
    <t>[S15:S16]</t>
  </si>
  <si>
    <t>[S16:S17]</t>
  </si>
  <si>
    <t>[S17:S18]</t>
  </si>
  <si>
    <t>[S18:S19]</t>
  </si>
  <si>
    <t>[S19:FP]</t>
  </si>
  <si>
    <r>
      <t>L</t>
    </r>
    <r>
      <rPr>
        <b/>
        <vertAlign val="subscript"/>
        <sz val="11"/>
        <color theme="1"/>
        <rFont val="Aptos Narrow"/>
        <family val="2"/>
        <scheme val="minor"/>
      </rPr>
      <t>a</t>
    </r>
  </si>
  <si>
    <r>
      <t>L</t>
    </r>
    <r>
      <rPr>
        <b/>
        <vertAlign val="subscript"/>
        <sz val="11"/>
        <color theme="1"/>
        <rFont val="Aptos Narrow"/>
        <family val="2"/>
        <scheme val="minor"/>
      </rPr>
      <t>ER</t>
    </r>
  </si>
  <si>
    <r>
      <t>L</t>
    </r>
    <r>
      <rPr>
        <b/>
        <vertAlign val="subscript"/>
        <sz val="11"/>
        <color theme="1"/>
        <rFont val="Aptos Narrow"/>
        <family val="2"/>
        <scheme val="minor"/>
      </rPr>
      <t>f</t>
    </r>
  </si>
  <si>
    <t>Waterlines [m]</t>
  </si>
  <si>
    <t>Spaces Between Stations [m]</t>
  </si>
  <si>
    <t>[AP-S1]</t>
  </si>
  <si>
    <t>[S1-S2]</t>
  </si>
  <si>
    <t>[S2-S3]</t>
  </si>
  <si>
    <t>[S3-S4]</t>
  </si>
  <si>
    <t>[S4-S5]</t>
  </si>
  <si>
    <t>[S5-S6]</t>
  </si>
  <si>
    <t>[S6-S7]</t>
  </si>
  <si>
    <t>[S7-S8]</t>
  </si>
  <si>
    <t>[S8-S9]</t>
  </si>
  <si>
    <t>[S9-S10]</t>
  </si>
  <si>
    <t>[S10-S11]</t>
  </si>
  <si>
    <t>[S11-S12]</t>
  </si>
  <si>
    <t>[S12-S13]</t>
  </si>
  <si>
    <t>[S13-S14]</t>
  </si>
  <si>
    <t>[S14-S15]</t>
  </si>
  <si>
    <t>[S15-S16]</t>
  </si>
  <si>
    <t>[S16-S17]</t>
  </si>
  <si>
    <t>[S17-S18]</t>
  </si>
  <si>
    <t>[S18-S19]</t>
  </si>
  <si>
    <t>[S19-FP]</t>
  </si>
  <si>
    <t>WL Normalizados [m]</t>
  </si>
  <si>
    <t>Coeficientes de Bonjean</t>
  </si>
  <si>
    <t>Comparação</t>
  </si>
  <si>
    <t>(T/D)^4</t>
  </si>
  <si>
    <t>(T/D)^3</t>
  </si>
  <si>
    <t>(T/D)^2</t>
  </si>
  <si>
    <t>(T/D)^1</t>
  </si>
  <si>
    <t>Soma de Bonjean</t>
  </si>
  <si>
    <t>Áreas</t>
  </si>
  <si>
    <t>Diferença</t>
  </si>
  <si>
    <t>Erro [%]</t>
  </si>
  <si>
    <t>H1</t>
  </si>
  <si>
    <t>H2</t>
  </si>
  <si>
    <t>H3</t>
  </si>
  <si>
    <t>H4</t>
  </si>
  <si>
    <t>H5</t>
  </si>
  <si>
    <t>H6</t>
  </si>
  <si>
    <t>H7</t>
  </si>
  <si>
    <t>Peso Leve</t>
  </si>
  <si>
    <t>Peso da Maquinaria</t>
  </si>
  <si>
    <t>ΔL (m)</t>
  </si>
  <si>
    <t>Ler + La (m)</t>
  </si>
  <si>
    <t>Pm1 (t)</t>
  </si>
  <si>
    <t>B1 (t/m)</t>
  </si>
  <si>
    <t>c1 (m)</t>
  </si>
  <si>
    <t>C1  (m)</t>
  </si>
  <si>
    <t>m1 (t)</t>
  </si>
  <si>
    <t>Xer (m)</t>
  </si>
  <si>
    <t>Neff (hp)</t>
  </si>
  <si>
    <t>B2 (t/m)</t>
  </si>
  <si>
    <t>c2 (m)</t>
  </si>
  <si>
    <t>C2 (m)</t>
  </si>
  <si>
    <t>m2 (t)</t>
  </si>
  <si>
    <t>Lo (m)</t>
  </si>
  <si>
    <t>Pm (t)</t>
  </si>
  <si>
    <t>B3 (t/m)</t>
  </si>
  <si>
    <t>c3 (m)</t>
  </si>
  <si>
    <t>C3 (m)</t>
  </si>
  <si>
    <t>m3 (t)</t>
  </si>
  <si>
    <t>Pm2 (t)</t>
  </si>
  <si>
    <t>B4 (t/m)</t>
  </si>
  <si>
    <t>c4 (m)</t>
  </si>
  <si>
    <t>C4 (m)</t>
  </si>
  <si>
    <t>m4 (t)</t>
  </si>
  <si>
    <t>Am (t/m)</t>
  </si>
  <si>
    <t>B5 (t/m)</t>
  </si>
  <si>
    <t>m5 (t)</t>
  </si>
  <si>
    <t>Bm (t/m)</t>
  </si>
  <si>
    <t>Estações</t>
  </si>
  <si>
    <t>Peso (t)</t>
  </si>
  <si>
    <r>
      <t>0</t>
    </r>
    <r>
      <rPr>
        <sz val="11"/>
        <color theme="1"/>
        <rFont val="Calibri"/>
        <family val="2"/>
      </rPr>
      <t>→</t>
    </r>
    <r>
      <rPr>
        <sz val="9.6999999999999993"/>
        <color theme="1"/>
        <rFont val="Calibri"/>
        <family val="2"/>
      </rPr>
      <t>1</t>
    </r>
  </si>
  <si>
    <t>1→2</t>
  </si>
  <si>
    <t>2→3</t>
  </si>
  <si>
    <t>3→4</t>
  </si>
  <si>
    <t>4→5</t>
  </si>
  <si>
    <t>5→6</t>
  </si>
  <si>
    <t>6→7</t>
  </si>
  <si>
    <t>7→8</t>
  </si>
  <si>
    <t>8→9</t>
  </si>
  <si>
    <t>9→10</t>
  </si>
  <si>
    <t>10→11</t>
  </si>
  <si>
    <t>11→12</t>
  </si>
  <si>
    <t>12→13</t>
  </si>
  <si>
    <t>13→14</t>
  </si>
  <si>
    <t>14→15</t>
  </si>
  <si>
    <t>15→16</t>
  </si>
  <si>
    <t>16→17</t>
  </si>
  <si>
    <t>17→18</t>
  </si>
  <si>
    <t>18→19</t>
  </si>
  <si>
    <t>19→20</t>
  </si>
  <si>
    <t>Peso da Superestrutura</t>
  </si>
  <si>
    <t>Lss,2 (m)</t>
  </si>
  <si>
    <t>Pss,aft (t)</t>
  </si>
  <si>
    <t>Pss,for (t)</t>
  </si>
  <si>
    <t>Pss (t)</t>
  </si>
  <si>
    <t>Lss,1 (m)</t>
  </si>
  <si>
    <t>maft (t/m)</t>
  </si>
  <si>
    <t>mfor (t/m)</t>
  </si>
  <si>
    <t>Peso do casco</t>
  </si>
  <si>
    <t>LBP/20 [m]</t>
  </si>
  <si>
    <t>Lc (m)</t>
  </si>
  <si>
    <t>Lc/L</t>
  </si>
  <si>
    <t>DW (t)</t>
  </si>
  <si>
    <r>
      <t>k</t>
    </r>
    <r>
      <rPr>
        <vertAlign val="subscript"/>
        <sz val="11"/>
        <color theme="1"/>
        <rFont val="Aptos Narrow"/>
        <family val="2"/>
        <scheme val="minor"/>
      </rPr>
      <t>DW</t>
    </r>
  </si>
  <si>
    <t>Δ (t)</t>
  </si>
  <si>
    <r>
      <t>k</t>
    </r>
    <r>
      <rPr>
        <vertAlign val="subscript"/>
        <sz val="11"/>
        <color theme="1"/>
        <rFont val="Aptos Narrow"/>
        <family val="2"/>
        <scheme val="minor"/>
      </rPr>
      <t>hull,ss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</si>
  <si>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hull,ss</t>
    </r>
    <r>
      <rPr>
        <sz val="11"/>
        <color theme="1"/>
        <rFont val="Aptos Narrow"/>
        <family val="2"/>
        <scheme val="minor"/>
      </rPr>
      <t xml:space="preserve"> (t)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</si>
  <si>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ss</t>
    </r>
    <r>
      <rPr>
        <sz val="11"/>
        <color theme="1"/>
        <rFont val="Aptos Narrow"/>
        <family val="2"/>
        <scheme val="minor"/>
      </rPr>
      <t xml:space="preserve"> (t)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</si>
  <si>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hull</t>
    </r>
    <r>
      <rPr>
        <sz val="11"/>
        <color theme="1"/>
        <rFont val="Aptos Narrow"/>
        <family val="2"/>
        <scheme val="minor"/>
      </rPr>
      <t xml:space="preserve"> (t)</t>
    </r>
  </si>
  <si>
    <t>L1 (m)</t>
  </si>
  <si>
    <t>L2 (m)</t>
  </si>
  <si>
    <r>
      <t>P</t>
    </r>
    <r>
      <rPr>
        <vertAlign val="subscript"/>
        <sz val="11"/>
        <color theme="1"/>
        <rFont val="Aptos Narrow"/>
        <family val="2"/>
        <scheme val="minor"/>
      </rPr>
      <t>hull</t>
    </r>
    <r>
      <rPr>
        <sz val="11"/>
        <color theme="1"/>
        <rFont val="Aptos Narrow"/>
        <family val="2"/>
        <scheme val="minor"/>
      </rPr>
      <t>/L (t/m)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</si>
  <si>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hull</t>
    </r>
    <r>
      <rPr>
        <sz val="11"/>
        <color theme="1"/>
        <rFont val="Aptos Narrow"/>
        <family val="2"/>
        <scheme val="minor"/>
      </rPr>
      <t xml:space="preserve"> (m)</t>
    </r>
  </si>
  <si>
    <t>A (t/m)</t>
  </si>
  <si>
    <t>B (t/m)</t>
  </si>
  <si>
    <t>C (t/m)</t>
  </si>
  <si>
    <t>dA (t/m)</t>
  </si>
  <si>
    <t>dC (t/m)</t>
  </si>
  <si>
    <t>Peso do Equipamento</t>
  </si>
  <si>
    <t>Coeficientes</t>
  </si>
  <si>
    <t>LW (t)</t>
  </si>
  <si>
    <t>Aeq (t/m)</t>
  </si>
  <si>
    <r>
      <t>P</t>
    </r>
    <r>
      <rPr>
        <vertAlign val="subscript"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(t)</t>
    </r>
  </si>
  <si>
    <t>Beq (t/m)</t>
  </si>
  <si>
    <t>Ler (m)</t>
  </si>
  <si>
    <t>Peq1 (t)</t>
  </si>
  <si>
    <t>Peq2 (t)</t>
  </si>
  <si>
    <t>Peq3 (t)</t>
  </si>
  <si>
    <t>Peq4 (t)</t>
  </si>
  <si>
    <t>Distribuição de pesos no navio leve</t>
  </si>
  <si>
    <t>Maquinaria (t)</t>
  </si>
  <si>
    <t>Superestrutura (t)</t>
  </si>
  <si>
    <t>Casco (t)</t>
  </si>
  <si>
    <t>Equipamento (t)</t>
  </si>
  <si>
    <t>La (m)</t>
  </si>
  <si>
    <t>L(m)</t>
  </si>
  <si>
    <t>M11 (t)</t>
  </si>
  <si>
    <t>M22 (t)</t>
  </si>
  <si>
    <t>M33 (t)</t>
  </si>
  <si>
    <t>M44 (t)</t>
  </si>
  <si>
    <t>M12(t)</t>
  </si>
  <si>
    <t>M23 (t)</t>
  </si>
  <si>
    <t>M34 (t)</t>
  </si>
  <si>
    <t>M43 (t)</t>
  </si>
  <si>
    <t>B(m)</t>
  </si>
  <si>
    <t>Extra</t>
  </si>
  <si>
    <t>m Total (t)</t>
  </si>
  <si>
    <t>m Extra (t)</t>
  </si>
  <si>
    <t>B18 (t/m)</t>
  </si>
  <si>
    <t>B19 (t/m)</t>
  </si>
  <si>
    <t>c18(m)</t>
  </si>
  <si>
    <t>c19 (m)</t>
  </si>
  <si>
    <t>C19 (m)</t>
  </si>
  <si>
    <t>C18 (m)</t>
  </si>
  <si>
    <t>m18 (t)</t>
  </si>
  <si>
    <t>m19 (t)</t>
  </si>
  <si>
    <t>M1817(t)</t>
  </si>
  <si>
    <t>M1818(t)</t>
  </si>
  <si>
    <t>M1918 (t)</t>
  </si>
  <si>
    <t>M1919(t)</t>
  </si>
  <si>
    <t>Total aft</t>
  </si>
  <si>
    <t>Total for</t>
  </si>
  <si>
    <t>AFT</t>
  </si>
  <si>
    <r>
      <t>P</t>
    </r>
    <r>
      <rPr>
        <vertAlign val="subscript"/>
        <sz val="11"/>
        <color theme="1"/>
        <rFont val="Aptos Narrow"/>
        <family val="2"/>
        <scheme val="minor"/>
      </rPr>
      <t>eq, aft</t>
    </r>
    <r>
      <rPr>
        <sz val="11"/>
        <color theme="1"/>
        <rFont val="Aptos Narrow"/>
        <family val="2"/>
        <scheme val="minor"/>
      </rPr>
      <t xml:space="preserve"> (t)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</si>
  <si>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eq, for</t>
    </r>
    <r>
      <rPr>
        <sz val="11"/>
        <color theme="1"/>
        <rFont val="Aptos Narrow"/>
        <family val="2"/>
        <scheme val="minor"/>
      </rPr>
      <t>(t)</t>
    </r>
  </si>
  <si>
    <t>M12 (t)</t>
  </si>
  <si>
    <t>M44(t)</t>
  </si>
  <si>
    <t>Sum</t>
  </si>
  <si>
    <t>LER/2</t>
  </si>
  <si>
    <t xml:space="preserve">Áreas da metade da secção mestra </t>
  </si>
  <si>
    <t>A_deck [m^2]</t>
  </si>
  <si>
    <t>Rácio</t>
  </si>
  <si>
    <t>A_cargo [m^2]</t>
  </si>
  <si>
    <t>A_bilge [m^2]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</si>
  <si>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</si>
  <si>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</si>
  <si>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</si>
  <si>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</si>
  <si>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</si>
  <si>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</si>
  <si>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</si>
  <si>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</si>
  <si>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</si>
  <si>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</si>
  <si>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</si>
  <si>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</si>
  <si>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</si>
  <si>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</si>
  <si>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</si>
  <si>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</si>
  <si>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</si>
  <si>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</si>
  <si>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</si>
  <si>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A_total [m^2]</t>
  </si>
  <si>
    <t>V_total [m^3]</t>
  </si>
  <si>
    <t>V_cargo [m^3]</t>
  </si>
  <si>
    <t>V_deck [m^3]</t>
  </si>
  <si>
    <t>V_bilge [m^3]</t>
  </si>
  <si>
    <t>V_bottom [m^3]</t>
  </si>
  <si>
    <t>Cargo</t>
  </si>
  <si>
    <t>Deck</t>
  </si>
  <si>
    <t>Bildge</t>
  </si>
  <si>
    <t>Bottom</t>
  </si>
  <si>
    <t>Área/2 [m^2]</t>
  </si>
  <si>
    <t>Área [m^2]</t>
  </si>
  <si>
    <t>Bildge tank</t>
  </si>
  <si>
    <t>Deck Tank</t>
  </si>
  <si>
    <t>Side Tank 1</t>
  </si>
  <si>
    <t>Side Tank 2</t>
  </si>
  <si>
    <t>Bottom Tank 1</t>
  </si>
  <si>
    <t>Bottom Tank 2</t>
  </si>
  <si>
    <t>Bottom Tank 3</t>
  </si>
  <si>
    <t>Bottom Tank 4</t>
  </si>
  <si>
    <t>Cargo Hold</t>
  </si>
  <si>
    <t>A_Side1 [m^2]</t>
  </si>
  <si>
    <t>A_Side2 [m^2]</t>
  </si>
  <si>
    <t>A_bottom4 [m^2]</t>
  </si>
  <si>
    <t>A_bottom3 [m^2]</t>
  </si>
  <si>
    <t>A_bottom2 [m^2]</t>
  </si>
  <si>
    <t>A_bottom1 [m^2]</t>
  </si>
  <si>
    <t>V_bottom2 [m^3]</t>
  </si>
  <si>
    <t>V_bottom3 [m^3]</t>
  </si>
  <si>
    <t>V_bottom4 [m^3]</t>
  </si>
  <si>
    <t>V_Side2 [m^3]</t>
  </si>
  <si>
    <t>V_Side1 [m^3]</t>
  </si>
  <si>
    <t>Side</t>
  </si>
  <si>
    <t>Sum tanks</t>
  </si>
  <si>
    <t>Áreas dos Tanques / 2</t>
  </si>
  <si>
    <t>Matrix</t>
  </si>
  <si>
    <t>B3 [m]</t>
  </si>
  <si>
    <t>C1 Final</t>
  </si>
  <si>
    <t>Afterpeak</t>
  </si>
  <si>
    <t>Forepeak</t>
  </si>
  <si>
    <t>Volume Total [m^3]</t>
  </si>
  <si>
    <t xml:space="preserve">Bilge </t>
  </si>
  <si>
    <t>Bottom 4</t>
  </si>
  <si>
    <t>Bottom 3</t>
  </si>
  <si>
    <t>Bottom 2</t>
  </si>
  <si>
    <t>Bottom 1</t>
  </si>
  <si>
    <t>Suoerestrutura</t>
  </si>
  <si>
    <t>Superestrutura</t>
  </si>
  <si>
    <t>Carga</t>
  </si>
  <si>
    <t>Side 1</t>
  </si>
  <si>
    <t>Side 2</t>
  </si>
  <si>
    <t>Fresh Water</t>
  </si>
  <si>
    <t>Fuel</t>
  </si>
  <si>
    <t>Fuel, Oil and cooling water Weight</t>
  </si>
  <si>
    <t>Parâmetros Gerais</t>
  </si>
  <si>
    <t>Neff [Horse]</t>
  </si>
  <si>
    <t>Section</t>
  </si>
  <si>
    <t>weight</t>
  </si>
  <si>
    <t>AP-S1</t>
  </si>
  <si>
    <t>S1-S2</t>
  </si>
  <si>
    <t>Pfoc [t]</t>
  </si>
  <si>
    <t>S2-S3</t>
  </si>
  <si>
    <t>ρfuel [t/m^3]</t>
  </si>
  <si>
    <t>S3-S4</t>
  </si>
  <si>
    <t>S4-S5</t>
  </si>
  <si>
    <t>S5-S6</t>
  </si>
  <si>
    <t>S6-S7</t>
  </si>
  <si>
    <t>S7-S8</t>
  </si>
  <si>
    <t>S8-S9</t>
  </si>
  <si>
    <t>S9-S10</t>
  </si>
  <si>
    <t>S10-S11</t>
  </si>
  <si>
    <t>S11-S12</t>
  </si>
  <si>
    <t>S12-S13</t>
  </si>
  <si>
    <t>S13-S14</t>
  </si>
  <si>
    <t>S14-S15</t>
  </si>
  <si>
    <t>S15-S16</t>
  </si>
  <si>
    <t>S16-S17</t>
  </si>
  <si>
    <t>S17-S18</t>
  </si>
  <si>
    <t>S18-S19</t>
  </si>
  <si>
    <t>S19-S20</t>
  </si>
  <si>
    <t>Total [t]</t>
  </si>
  <si>
    <t>LBP [m]</t>
  </si>
  <si>
    <t>DW [t]</t>
  </si>
  <si>
    <t>Dias</t>
  </si>
  <si>
    <t>dL [m]</t>
  </si>
  <si>
    <t>n (crew)</t>
  </si>
  <si>
    <t>Crew Weight</t>
  </si>
  <si>
    <t>P,sc [t]</t>
  </si>
  <si>
    <t>c1 [m]</t>
  </si>
  <si>
    <t>M11 [t]</t>
  </si>
  <si>
    <t>A,sc [t/m]</t>
  </si>
  <si>
    <t>c2 [m]</t>
  </si>
  <si>
    <t>M12 [t]</t>
  </si>
  <si>
    <t>B,sc [t/m]</t>
  </si>
  <si>
    <t>m1 [t]</t>
  </si>
  <si>
    <t>M22 [t]</t>
  </si>
  <si>
    <t>B1 [t/m]</t>
  </si>
  <si>
    <t>m2 [t]</t>
  </si>
  <si>
    <t>M23 [t]</t>
  </si>
  <si>
    <t>B2 [t/m]</t>
  </si>
  <si>
    <t>M33 [t]</t>
  </si>
  <si>
    <t>B3 [t/m]</t>
  </si>
  <si>
    <t>M44 [t]</t>
  </si>
  <si>
    <t>B4 [t/m]</t>
  </si>
  <si>
    <t>m.total [t]</t>
  </si>
  <si>
    <t>ρ [t/m^3]</t>
  </si>
  <si>
    <t>Pfw, min [t]</t>
  </si>
  <si>
    <t>Pfw, max [t]</t>
  </si>
  <si>
    <t>Ballast Weight</t>
  </si>
  <si>
    <t>Pb, min [t]</t>
  </si>
  <si>
    <t>Pb, max [t]</t>
  </si>
  <si>
    <t xml:space="preserve">Cargo Condition </t>
  </si>
  <si>
    <t xml:space="preserve">Ballast Condition </t>
  </si>
  <si>
    <t>Secção</t>
  </si>
  <si>
    <t xml:space="preserve">Cargo Weight </t>
  </si>
  <si>
    <t>Pcarga [t]</t>
  </si>
  <si>
    <t>Deadweight Total</t>
  </si>
  <si>
    <t>Deadweight total</t>
  </si>
  <si>
    <t>Mant. e Tripulação [t]</t>
  </si>
  <si>
    <t>Água Potável [t]</t>
  </si>
  <si>
    <t>Combustível [t]</t>
  </si>
  <si>
    <t>Lastro [t]</t>
  </si>
  <si>
    <t>Carga [t]</t>
  </si>
  <si>
    <t>H8</t>
  </si>
  <si>
    <t>Empty</t>
  </si>
  <si>
    <t>FW</t>
  </si>
  <si>
    <t>Cargo Condition</t>
  </si>
  <si>
    <t>Balast Condition</t>
  </si>
  <si>
    <t>Volume</t>
  </si>
  <si>
    <t>Weight</t>
  </si>
  <si>
    <t>LW +DW (Ballast Condition)</t>
  </si>
  <si>
    <t>LW</t>
  </si>
  <si>
    <t>DW</t>
  </si>
  <si>
    <t>Total Weight</t>
  </si>
  <si>
    <t>k*Total Weight</t>
  </si>
  <si>
    <t>LW +DW (Cargo Condition)</t>
  </si>
  <si>
    <t>Longitudinal Center of Gravity (Ballast Condition)</t>
  </si>
  <si>
    <t>Displacement</t>
  </si>
  <si>
    <t>Buoyancy For Cargo Conditions</t>
  </si>
  <si>
    <t>T,wl0</t>
  </si>
  <si>
    <t>T,wlc</t>
  </si>
  <si>
    <t>dL</t>
  </si>
  <si>
    <t>ε</t>
  </si>
  <si>
    <t>T_WL0 [m]</t>
  </si>
  <si>
    <t>T_WL [m]</t>
  </si>
  <si>
    <t>T_WLc [m]</t>
  </si>
  <si>
    <t>Area_WL0 [%]</t>
  </si>
  <si>
    <t>Area_WL [%]</t>
  </si>
  <si>
    <t>Area_WLc [%]</t>
  </si>
  <si>
    <t>Area_WL0 [m^2]</t>
  </si>
  <si>
    <t>Area_WL [m^2]</t>
  </si>
  <si>
    <t>Area_WLc [m^2]</t>
  </si>
  <si>
    <t>d_min</t>
  </si>
  <si>
    <t xml:space="preserve">AreaWL0 [m^2] </t>
  </si>
  <si>
    <t>k*AreaWL0 [m^2]</t>
  </si>
  <si>
    <t xml:space="preserve">AreaWLc [m^2] </t>
  </si>
  <si>
    <t xml:space="preserve">B-A </t>
  </si>
  <si>
    <t xml:space="preserve">k*C </t>
  </si>
  <si>
    <t>k*D</t>
  </si>
  <si>
    <t xml:space="preserve">(a/ε)+(b/ε)*(k/20)  </t>
  </si>
  <si>
    <t xml:space="preserve">C*E  </t>
  </si>
  <si>
    <t xml:space="preserve">F+A </t>
  </si>
  <si>
    <t>k*G</t>
  </si>
  <si>
    <t>Erro[%]</t>
  </si>
  <si>
    <t>LCG</t>
  </si>
  <si>
    <t>|LCB - LCG|</t>
  </si>
  <si>
    <t>Incline [m]</t>
  </si>
  <si>
    <t>Mids Section Area</t>
  </si>
  <si>
    <t>Sagging For Buoyancy in Cargo Conditions</t>
  </si>
  <si>
    <t>Wave Height [relative]</t>
  </si>
  <si>
    <t>Wave Height [m]</t>
  </si>
  <si>
    <t>Amid</t>
  </si>
  <si>
    <t>dreal</t>
  </si>
  <si>
    <t>WL 0</t>
  </si>
  <si>
    <t>WL 1</t>
  </si>
  <si>
    <t>Subir</t>
  </si>
  <si>
    <t>Descer</t>
  </si>
  <si>
    <t>Shear Forces and Bending Moment (Still Water)</t>
  </si>
  <si>
    <t>Ballast Condition</t>
  </si>
  <si>
    <t>Sections</t>
  </si>
  <si>
    <t>Sum-par of [B]</t>
  </si>
  <si>
    <t>Δ [t]</t>
  </si>
  <si>
    <t>Weight [t]</t>
  </si>
  <si>
    <t>Loading [t]</t>
  </si>
  <si>
    <t>Sum From Up</t>
  </si>
  <si>
    <t>Integration</t>
  </si>
  <si>
    <t>dQ [t]</t>
  </si>
  <si>
    <t>Q [t]</t>
  </si>
  <si>
    <t>0.5*ΔL*Int.</t>
  </si>
  <si>
    <t>dM [t.m]</t>
  </si>
  <si>
    <t>Msw [t.m]</t>
  </si>
  <si>
    <t>psw</t>
  </si>
  <si>
    <t>Shear Forces and Bending Moment (Sagging)</t>
  </si>
  <si>
    <t>Ballast</t>
  </si>
  <si>
    <t>Area_WL Still [m^2]</t>
  </si>
  <si>
    <t>Area_WL Wave [m^2]</t>
  </si>
  <si>
    <t>A-B</t>
  </si>
  <si>
    <t>C(i)+C(i-1)+D(i-1)</t>
  </si>
  <si>
    <t>D(i)+D(i-1)+E(i-1)</t>
  </si>
  <si>
    <t xml:space="preserve">D*0.5*ΔL*ρSW </t>
  </si>
  <si>
    <t>dQw [t]</t>
  </si>
  <si>
    <t>Qw (Cargo) [t]</t>
  </si>
  <si>
    <t xml:space="preserve">E*0.25*ΔL^2*ρSW </t>
  </si>
  <si>
    <t>dMw [t/m]</t>
  </si>
  <si>
    <t>Msw (Cargo) [t/m]</t>
  </si>
  <si>
    <t>Qw (Ballast) [t]</t>
  </si>
  <si>
    <t>Msw (Ballast) [t/m]</t>
  </si>
  <si>
    <t>Cw</t>
  </si>
  <si>
    <t>Mwv (Sagging) [kN.m]</t>
  </si>
  <si>
    <t>Mwv (hogging) [kN.m]</t>
  </si>
  <si>
    <t>Qwv (sagging) [kN]</t>
  </si>
  <si>
    <t>Qwv (hogging) [kN]</t>
  </si>
  <si>
    <t>Cwu</t>
  </si>
  <si>
    <t>CC</t>
  </si>
  <si>
    <t>BC</t>
  </si>
  <si>
    <t>Bending Moment - Waves</t>
  </si>
  <si>
    <t>Shear Forces - Waves</t>
  </si>
  <si>
    <t>X /LBP</t>
  </si>
  <si>
    <t>ksm</t>
  </si>
  <si>
    <t>ksq</t>
  </si>
  <si>
    <t>Ms (Hogging) [kN.m]</t>
  </si>
  <si>
    <t>Ms (Sagging) [kN.m]</t>
  </si>
  <si>
    <t>Qs (Sagging) [kN]</t>
  </si>
  <si>
    <t>Qs (Hogging) [kN]</t>
  </si>
  <si>
    <t>Ms (Cargo) [kN.m]</t>
  </si>
  <si>
    <t>Qs (Cargo) [kN]</t>
  </si>
  <si>
    <t>Ms (Ballast) [kN.m]</t>
  </si>
  <si>
    <t>Qs (Ballast) [kN]</t>
  </si>
  <si>
    <t>Ms CC [kN.m]</t>
  </si>
  <si>
    <t>Ms BC [kN.m]</t>
  </si>
  <si>
    <t>Mho CC  [kN.m]</t>
  </si>
  <si>
    <t>Mho BC [kN.m]</t>
  </si>
  <si>
    <t>ksq sagging</t>
  </si>
  <si>
    <t>ksq hogging</t>
  </si>
  <si>
    <t>Qs CC [kN]</t>
  </si>
  <si>
    <t>Qs BC [kN]</t>
  </si>
  <si>
    <t>Qho CC [kN]</t>
  </si>
  <si>
    <t>Qho BC [kN]</t>
  </si>
  <si>
    <t>Qwo (sagging) [kN]</t>
  </si>
  <si>
    <t>Qwo (hogging) [kN]</t>
  </si>
  <si>
    <t>Mwo (sagging) [kN.m]</t>
  </si>
  <si>
    <t>Mwo (hogging) [kN.m]</t>
  </si>
  <si>
    <t>1 [t] -&gt; 9,81 [kN]</t>
  </si>
  <si>
    <t xml:space="preserve">Sagging </t>
  </si>
  <si>
    <t>Hogging</t>
  </si>
  <si>
    <t>E [Pa]</t>
  </si>
  <si>
    <t>INA [m^4]</t>
  </si>
  <si>
    <t>Max Msw + Msag [kN.m]</t>
  </si>
  <si>
    <t>Imax</t>
  </si>
  <si>
    <t>Sagging</t>
  </si>
  <si>
    <t>A/20</t>
  </si>
  <si>
    <t>I(x)/I(0)</t>
  </si>
  <si>
    <t>M(x)/M(0)</t>
  </si>
  <si>
    <t>C*D</t>
  </si>
  <si>
    <t>Integral de E</t>
  </si>
  <si>
    <t>Integral de F</t>
  </si>
  <si>
    <t>G-B*G20</t>
  </si>
  <si>
    <t>Deslocamento [m]</t>
  </si>
  <si>
    <t>Sagging Deslocamento [mm]</t>
  </si>
  <si>
    <t>Max Msw + Mhog [kN.m]</t>
  </si>
  <si>
    <t>Hogging Deslocamento [mm]</t>
  </si>
  <si>
    <t>δ (mm)</t>
  </si>
  <si>
    <t>Condição de Carga</t>
  </si>
  <si>
    <t>Condição de Lastro</t>
  </si>
  <si>
    <t>Wbottom [cm^2*m]</t>
  </si>
  <si>
    <t>Msw + Msag [kN.m]</t>
  </si>
  <si>
    <t>Msw + Mhog [kN.m]</t>
  </si>
  <si>
    <t>Wdeck [cm^2*m]</t>
  </si>
  <si>
    <t>ZNA [m]</t>
  </si>
  <si>
    <t>Máx</t>
  </si>
  <si>
    <t>Vfoc, min [t]</t>
  </si>
  <si>
    <t>Ms(sagging)</t>
  </si>
  <si>
    <t>Ms(Hogging)</t>
  </si>
  <si>
    <t>M (CC)</t>
  </si>
  <si>
    <t>M (BC)</t>
  </si>
  <si>
    <t>Chapas</t>
  </si>
  <si>
    <t>b [m]</t>
  </si>
  <si>
    <t>δ [m]</t>
  </si>
  <si>
    <t>A[m^2]</t>
  </si>
  <si>
    <t>z [m]</t>
  </si>
  <si>
    <t>Io [m^4]</t>
  </si>
  <si>
    <t>A*z [m^3]</t>
  </si>
  <si>
    <t>A*z^2 [m^4]</t>
  </si>
  <si>
    <t>Izz [m^4]</t>
  </si>
  <si>
    <t>Normal Stress (Cargo)</t>
  </si>
  <si>
    <t>Normal Stress (Ballast)</t>
  </si>
  <si>
    <t>AB</t>
  </si>
  <si>
    <t>CD</t>
  </si>
  <si>
    <t>DE</t>
  </si>
  <si>
    <t>[Mpa]</t>
  </si>
  <si>
    <t>σ allowed [MPa]</t>
  </si>
  <si>
    <t>σ Deck</t>
  </si>
  <si>
    <t>GH</t>
  </si>
  <si>
    <t>σ Bottom</t>
  </si>
  <si>
    <t xml:space="preserve">Total </t>
  </si>
  <si>
    <t>Ponto</t>
  </si>
  <si>
    <t>S* [m^3]</t>
  </si>
  <si>
    <t>q* [kN/m]</t>
  </si>
  <si>
    <t>Q [kN]</t>
  </si>
  <si>
    <t>Qsw (CC)</t>
  </si>
  <si>
    <t>Qsw (BC)</t>
  </si>
  <si>
    <t>Qsg (CC)</t>
  </si>
  <si>
    <t>Still Water</t>
  </si>
  <si>
    <t>Qhg (CC)</t>
  </si>
  <si>
    <t>Qsg (BC)</t>
  </si>
  <si>
    <t>Qhg (BC)</t>
  </si>
  <si>
    <t>Max</t>
  </si>
  <si>
    <t>Shear Stress</t>
  </si>
  <si>
    <t>τsw (Cargo)</t>
  </si>
  <si>
    <t>τsw (Ballast)</t>
  </si>
  <si>
    <t>τsa (Cargo)</t>
  </si>
  <si>
    <t>τsa (Ballast)</t>
  </si>
  <si>
    <t>τho (Cargo)</t>
  </si>
  <si>
    <t>τho (Ballast)</t>
  </si>
  <si>
    <t>Von Mises Stress [MPa]</t>
  </si>
  <si>
    <t>σvm, sw (Cargo)</t>
  </si>
  <si>
    <t>σvm, sw (Ballast)</t>
  </si>
  <si>
    <t>σvm, sa (Cargo)</t>
  </si>
  <si>
    <t>σvm, sa (Ballast)</t>
  </si>
  <si>
    <t>σvm, ho (Cargo)</t>
  </si>
  <si>
    <t>σvm, ho (Ballast)</t>
  </si>
  <si>
    <t>DWT/1000 [t]</t>
  </si>
  <si>
    <t>v [kn]</t>
  </si>
  <si>
    <t>dmin [m]</t>
  </si>
  <si>
    <t>n [crew]</t>
  </si>
  <si>
    <t>A [days]</t>
  </si>
  <si>
    <t>Dados Iniciais</t>
  </si>
  <si>
    <t>S/T</t>
  </si>
  <si>
    <t>Initial</t>
  </si>
  <si>
    <t>Final</t>
  </si>
  <si>
    <t>mm</t>
  </si>
  <si>
    <t>Wdeck - Wmin</t>
  </si>
  <si>
    <t>Nr of Dl</t>
  </si>
  <si>
    <t>Lenght</t>
  </si>
  <si>
    <t>Space</t>
  </si>
  <si>
    <t>Tank Volume/ 2</t>
  </si>
  <si>
    <t>Tank Number</t>
  </si>
  <si>
    <t>Machine room</t>
  </si>
  <si>
    <t>Tank Capacity</t>
  </si>
  <si>
    <t>Port</t>
  </si>
  <si>
    <t>Starboard</t>
  </si>
  <si>
    <t>Pfw, real [t]</t>
  </si>
  <si>
    <t>T [Hours]</t>
  </si>
  <si>
    <t>A [Days]</t>
  </si>
  <si>
    <t>Pfoc, real [t]</t>
  </si>
  <si>
    <t>σdeck [MPa]</t>
  </si>
  <si>
    <t>σbottom [MPa]</t>
  </si>
  <si>
    <t>Allowed Tension [Mpa]</t>
  </si>
  <si>
    <t>Yield Strenght [Mpa]</t>
  </si>
  <si>
    <t>EF</t>
  </si>
  <si>
    <t>g [m]</t>
  </si>
  <si>
    <t>h [m]</t>
  </si>
  <si>
    <t>E'</t>
  </si>
  <si>
    <t>D'</t>
  </si>
  <si>
    <t>C'</t>
  </si>
  <si>
    <t>FG</t>
  </si>
  <si>
    <t>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</si>
</sst>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"/>
    <numFmt numFmtId="165" formatCode="0.00000"/>
    <numFmt numFmtId="166" formatCode="0.0000"/>
    <numFmt numFmtId="167" formatCode="0.0"/>
    <numFmt numFmtId="168" formatCode="0.0%"/>
    <numFmt numFmtId="169" formatCode="0.00000000"/>
    <numFmt numFmtId="170" formatCode="0.000000"/>
    <numFmt numFmtId="171" formatCode="0.000000000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Aptos Narrow"/>
      <family val="2"/>
    </font>
    <font>
      <sz val="11.1"/>
      <color theme="0"/>
      <name val="Aptos Narrow"/>
      <family val="2"/>
    </font>
    <font>
      <b/>
      <vertAlign val="subscript"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sz val="9.6999999999999993"/>
      <color theme="1"/>
      <name val="Calibri"/>
      <family val="2"/>
    </font>
    <font>
      <vertAlign val="subscript"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43" fontId="2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5" fillId="11" borderId="0" applyNumberFormat="0" applyBorder="0" applyAlignment="0" applyProtection="0"/>
    <xf numFmtId="9" fontId="2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4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/>
    <xf numFmtId="164" fontId="5" fillId="2" borderId="1" xfId="1" applyNumberFormat="1" applyBorder="1" applyAlignment="1">
      <alignment horizontal="center"/>
    </xf>
    <xf numFmtId="164" fontId="5" fillId="4" borderId="1" xfId="3" applyNumberFormat="1" applyBorder="1"/>
    <xf numFmtId="164" fontId="0" fillId="0" borderId="0" xfId="0" applyNumberFormat="1"/>
    <xf numFmtId="0" fontId="4" fillId="0" borderId="0" xfId="0" applyFont="1"/>
    <xf numFmtId="164" fontId="4" fillId="0" borderId="1" xfId="0" applyNumberFormat="1" applyFont="1" applyBorder="1"/>
    <xf numFmtId="164" fontId="3" fillId="6" borderId="1" xfId="4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9" borderId="1" xfId="7" applyNumberFormat="1" applyBorder="1" applyAlignment="1">
      <alignment horizontal="center"/>
    </xf>
    <xf numFmtId="164" fontId="2" fillId="9" borderId="3" xfId="7" applyNumberFormat="1" applyBorder="1" applyAlignment="1">
      <alignment horizontal="center"/>
    </xf>
    <xf numFmtId="2" fontId="2" fillId="9" borderId="1" xfId="7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0" borderId="1" xfId="0" applyNumberFormat="1" applyFill="1" applyBorder="1"/>
    <xf numFmtId="2" fontId="5" fillId="5" borderId="1" xfId="4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5" fillId="5" borderId="4" xfId="4" applyNumberFormat="1" applyBorder="1" applyAlignment="1">
      <alignment horizontal="center"/>
    </xf>
    <xf numFmtId="0" fontId="0" fillId="12" borderId="1" xfId="0" applyFill="1" applyBorder="1"/>
    <xf numFmtId="164" fontId="5" fillId="11" borderId="1" xfId="8" applyNumberFormat="1" applyBorder="1" applyAlignment="1">
      <alignment horizontal="center"/>
    </xf>
    <xf numFmtId="164" fontId="0" fillId="0" borderId="2" xfId="0" applyNumberFormat="1" applyBorder="1"/>
    <xf numFmtId="166" fontId="5" fillId="11" borderId="1" xfId="8" applyNumberFormat="1" applyBorder="1" applyAlignment="1">
      <alignment horizontal="center"/>
    </xf>
    <xf numFmtId="166" fontId="0" fillId="0" borderId="1" xfId="0" applyNumberFormat="1" applyBorder="1"/>
    <xf numFmtId="1" fontId="5" fillId="11" borderId="1" xfId="8" applyNumberFormat="1" applyBorder="1" applyAlignment="1">
      <alignment horizontal="center"/>
    </xf>
    <xf numFmtId="164" fontId="5" fillId="11" borderId="1" xfId="8" applyNumberFormat="1" applyBorder="1"/>
    <xf numFmtId="0" fontId="0" fillId="16" borderId="1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6" xfId="0" applyNumberFormat="1" applyBorder="1"/>
    <xf numFmtId="0" fontId="5" fillId="0" borderId="0" xfId="0" applyFont="1"/>
    <xf numFmtId="2" fontId="0" fillId="0" borderId="14" xfId="0" applyNumberFormat="1" applyBorder="1"/>
    <xf numFmtId="164" fontId="0" fillId="0" borderId="14" xfId="0" applyNumberFormat="1" applyBorder="1"/>
    <xf numFmtId="1" fontId="0" fillId="0" borderId="16" xfId="0" applyNumberFormat="1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2" fontId="0" fillId="0" borderId="18" xfId="0" applyNumberFormat="1" applyBorder="1"/>
    <xf numFmtId="164" fontId="0" fillId="0" borderId="18" xfId="0" applyNumberFormat="1" applyBorder="1"/>
    <xf numFmtId="0" fontId="0" fillId="16" borderId="11" xfId="0" applyFill="1" applyBorder="1"/>
    <xf numFmtId="0" fontId="0" fillId="16" borderId="19" xfId="0" applyFill="1" applyBorder="1"/>
    <xf numFmtId="0" fontId="0" fillId="0" borderId="20" xfId="0" applyBorder="1" applyAlignment="1">
      <alignment horizontal="center"/>
    </xf>
    <xf numFmtId="1" fontId="0" fillId="0" borderId="21" xfId="0" applyNumberFormat="1" applyBorder="1"/>
    <xf numFmtId="0" fontId="0" fillId="0" borderId="22" xfId="0" applyBorder="1" applyAlignment="1">
      <alignment horizontal="center"/>
    </xf>
    <xf numFmtId="1" fontId="0" fillId="0" borderId="23" xfId="0" applyNumberFormat="1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167" fontId="0" fillId="0" borderId="27" xfId="0" applyNumberFormat="1" applyBorder="1"/>
    <xf numFmtId="0" fontId="0" fillId="0" borderId="28" xfId="0" applyBorder="1"/>
    <xf numFmtId="164" fontId="0" fillId="0" borderId="29" xfId="0" applyNumberFormat="1" applyBorder="1"/>
    <xf numFmtId="0" fontId="0" fillId="16" borderId="30" xfId="0" applyFill="1" applyBorder="1"/>
    <xf numFmtId="1" fontId="0" fillId="0" borderId="31" xfId="0" applyNumberFormat="1" applyBorder="1"/>
    <xf numFmtId="1" fontId="0" fillId="0" borderId="32" xfId="0" applyNumberFormat="1" applyBorder="1"/>
    <xf numFmtId="0" fontId="0" fillId="0" borderId="19" xfId="0" applyBorder="1" applyAlignment="1">
      <alignment horizontal="center"/>
    </xf>
    <xf numFmtId="167" fontId="0" fillId="0" borderId="12" xfId="0" applyNumberFormat="1" applyBorder="1"/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3" xfId="0" applyBorder="1"/>
    <xf numFmtId="2" fontId="0" fillId="0" borderId="34" xfId="0" applyNumberFormat="1" applyBorder="1"/>
    <xf numFmtId="0" fontId="0" fillId="0" borderId="35" xfId="0" applyBorder="1"/>
    <xf numFmtId="2" fontId="0" fillId="0" borderId="36" xfId="0" applyNumberFormat="1" applyBorder="1"/>
    <xf numFmtId="0" fontId="0" fillId="0" borderId="37" xfId="0" applyBorder="1" applyAlignment="1">
      <alignment horizontal="center"/>
    </xf>
    <xf numFmtId="167" fontId="0" fillId="0" borderId="16" xfId="0" applyNumberFormat="1" applyBorder="1"/>
    <xf numFmtId="0" fontId="0" fillId="0" borderId="30" xfId="0" applyBorder="1"/>
    <xf numFmtId="167" fontId="0" fillId="0" borderId="30" xfId="0" applyNumberFormat="1" applyBorder="1"/>
    <xf numFmtId="0" fontId="0" fillId="0" borderId="40" xfId="0" applyBorder="1"/>
    <xf numFmtId="167" fontId="0" fillId="0" borderId="40" xfId="0" applyNumberFormat="1" applyBorder="1"/>
    <xf numFmtId="0" fontId="0" fillId="0" borderId="36" xfId="0" applyBorder="1"/>
    <xf numFmtId="0" fontId="0" fillId="0" borderId="26" xfId="0" applyBorder="1"/>
    <xf numFmtId="0" fontId="0" fillId="0" borderId="27" xfId="0" applyBorder="1"/>
    <xf numFmtId="167" fontId="0" fillId="0" borderId="18" xfId="0" applyNumberFormat="1" applyBorder="1"/>
    <xf numFmtId="0" fontId="0" fillId="16" borderId="41" xfId="0" applyFill="1" applyBorder="1"/>
    <xf numFmtId="0" fontId="0" fillId="16" borderId="42" xfId="0" applyFill="1" applyBorder="1"/>
    <xf numFmtId="164" fontId="0" fillId="0" borderId="13" xfId="0" applyNumberFormat="1" applyBorder="1"/>
    <xf numFmtId="0" fontId="0" fillId="0" borderId="44" xfId="0" applyBorder="1"/>
    <xf numFmtId="164" fontId="0" fillId="0" borderId="15" xfId="0" applyNumberFormat="1" applyBorder="1"/>
    <xf numFmtId="0" fontId="0" fillId="0" borderId="45" xfId="0" applyBorder="1"/>
    <xf numFmtId="0" fontId="0" fillId="0" borderId="11" xfId="0" applyBorder="1" applyAlignment="1">
      <alignment horizontal="center"/>
    </xf>
    <xf numFmtId="164" fontId="0" fillId="0" borderId="26" xfId="0" applyNumberFormat="1" applyBorder="1"/>
    <xf numFmtId="164" fontId="0" fillId="0" borderId="46" xfId="0" applyNumberFormat="1" applyBorder="1"/>
    <xf numFmtId="0" fontId="0" fillId="16" borderId="19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1" fontId="0" fillId="0" borderId="44" xfId="0" applyNumberFormat="1" applyBorder="1"/>
    <xf numFmtId="1" fontId="0" fillId="0" borderId="47" xfId="0" applyNumberFormat="1" applyBorder="1"/>
    <xf numFmtId="167" fontId="0" fillId="0" borderId="0" xfId="0" applyNumberFormat="1"/>
    <xf numFmtId="0" fontId="0" fillId="17" borderId="33" xfId="0" applyFill="1" applyBorder="1"/>
    <xf numFmtId="0" fontId="0" fillId="17" borderId="15" xfId="0" applyFill="1" applyBorder="1"/>
    <xf numFmtId="0" fontId="0" fillId="17" borderId="17" xfId="0" applyFill="1" applyBorder="1"/>
    <xf numFmtId="0" fontId="0" fillId="17" borderId="13" xfId="0" applyFill="1" applyBorder="1"/>
    <xf numFmtId="0" fontId="0" fillId="17" borderId="51" xfId="0" applyFill="1" applyBorder="1"/>
    <xf numFmtId="0" fontId="0" fillId="0" borderId="52" xfId="0" applyBorder="1"/>
    <xf numFmtId="2" fontId="0" fillId="0" borderId="48" xfId="0" applyNumberFormat="1" applyBorder="1"/>
    <xf numFmtId="0" fontId="0" fillId="0" borderId="48" xfId="0" applyBorder="1"/>
    <xf numFmtId="0" fontId="0" fillId="0" borderId="12" xfId="0" applyBorder="1"/>
    <xf numFmtId="0" fontId="0" fillId="0" borderId="53" xfId="0" applyBorder="1"/>
    <xf numFmtId="0" fontId="0" fillId="0" borderId="46" xfId="0" applyBorder="1"/>
    <xf numFmtId="0" fontId="0" fillId="0" borderId="51" xfId="0" applyBorder="1"/>
    <xf numFmtId="0" fontId="0" fillId="0" borderId="49" xfId="0" applyBorder="1"/>
    <xf numFmtId="0" fontId="0" fillId="0" borderId="50" xfId="0" applyBorder="1"/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1" fontId="0" fillId="0" borderId="39" xfId="0" applyNumberFormat="1" applyBorder="1"/>
    <xf numFmtId="0" fontId="0" fillId="0" borderId="3" xfId="0" applyBorder="1"/>
    <xf numFmtId="164" fontId="0" fillId="0" borderId="54" xfId="0" applyNumberFormat="1" applyBorder="1"/>
    <xf numFmtId="164" fontId="0" fillId="0" borderId="55" xfId="0" applyNumberFormat="1" applyBorder="1"/>
    <xf numFmtId="0" fontId="0" fillId="16" borderId="56" xfId="0" applyFill="1" applyBorder="1"/>
    <xf numFmtId="0" fontId="0" fillId="16" borderId="1" xfId="0" applyFill="1" applyBorder="1"/>
    <xf numFmtId="167" fontId="0" fillId="0" borderId="1" xfId="0" applyNumberFormat="1" applyBorder="1"/>
    <xf numFmtId="0" fontId="5" fillId="4" borderId="1" xfId="3" applyBorder="1" applyAlignment="1">
      <alignment horizontal="center"/>
    </xf>
    <xf numFmtId="0" fontId="5" fillId="4" borderId="1" xfId="3" applyBorder="1"/>
    <xf numFmtId="0" fontId="5" fillId="0" borderId="0" xfId="3" applyFill="1" applyBorder="1"/>
    <xf numFmtId="0" fontId="0" fillId="0" borderId="0" xfId="0" applyAlignment="1">
      <alignment vertical="center"/>
    </xf>
    <xf numFmtId="0" fontId="0" fillId="0" borderId="5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4" borderId="4" xfId="3" applyBorder="1"/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0" fillId="18" borderId="4" xfId="0" applyFill="1" applyBorder="1"/>
    <xf numFmtId="0" fontId="0" fillId="18" borderId="13" xfId="0" applyFill="1" applyBorder="1" applyAlignment="1">
      <alignment vertical="center"/>
    </xf>
    <xf numFmtId="0" fontId="0" fillId="18" borderId="57" xfId="0" applyFill="1" applyBorder="1" applyAlignment="1">
      <alignment vertical="center"/>
    </xf>
    <xf numFmtId="0" fontId="0" fillId="18" borderId="14" xfId="0" applyFill="1" applyBorder="1" applyAlignment="1">
      <alignment horizontal="center" vertical="center"/>
    </xf>
    <xf numFmtId="0" fontId="0" fillId="18" borderId="23" xfId="0" applyFill="1" applyBorder="1" applyAlignment="1">
      <alignment vertical="center"/>
    </xf>
    <xf numFmtId="0" fontId="0" fillId="18" borderId="25" xfId="0" applyFill="1" applyBorder="1" applyAlignment="1">
      <alignment vertical="center"/>
    </xf>
    <xf numFmtId="0" fontId="0" fillId="19" borderId="19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 vertical="center"/>
    </xf>
    <xf numFmtId="0" fontId="5" fillId="19" borderId="30" xfId="0" applyFont="1" applyFill="1" applyBorder="1" applyAlignment="1">
      <alignment horizontal="center" vertic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2" xfId="0" applyBorder="1" applyAlignment="1">
      <alignment horizontal="center" vertical="center" textRotation="90" wrapText="1"/>
    </xf>
    <xf numFmtId="0" fontId="0" fillId="0" borderId="54" xfId="0" applyBorder="1" applyAlignment="1">
      <alignment horizontal="center" vertical="center" textRotation="90" wrapText="1"/>
    </xf>
    <xf numFmtId="0" fontId="0" fillId="0" borderId="63" xfId="0" applyBorder="1"/>
    <xf numFmtId="0" fontId="0" fillId="0" borderId="64" xfId="0" applyBorder="1"/>
    <xf numFmtId="0" fontId="0" fillId="0" borderId="45" xfId="0" applyBorder="1" applyAlignment="1">
      <alignment horizontal="center"/>
    </xf>
    <xf numFmtId="0" fontId="3" fillId="15" borderId="38" xfId="0" applyFont="1" applyFill="1" applyBorder="1"/>
    <xf numFmtId="0" fontId="0" fillId="0" borderId="39" xfId="0" applyBorder="1"/>
    <xf numFmtId="0" fontId="4" fillId="22" borderId="26" xfId="0" applyFont="1" applyFill="1" applyBorder="1" applyAlignment="1">
      <alignment horizontal="center"/>
    </xf>
    <xf numFmtId="0" fontId="4" fillId="22" borderId="12" xfId="0" applyFont="1" applyFill="1" applyBorder="1" applyAlignment="1">
      <alignment horizontal="center"/>
    </xf>
    <xf numFmtId="0" fontId="3" fillId="15" borderId="65" xfId="0" applyFont="1" applyFill="1" applyBorder="1"/>
    <xf numFmtId="0" fontId="0" fillId="0" borderId="29" xfId="0" applyBorder="1"/>
    <xf numFmtId="0" fontId="3" fillId="15" borderId="28" xfId="0" applyFont="1" applyFill="1" applyBorder="1" applyAlignment="1">
      <alignment horizontal="center"/>
    </xf>
    <xf numFmtId="1" fontId="0" fillId="0" borderId="29" xfId="0" applyNumberFormat="1" applyBorder="1"/>
    <xf numFmtId="0" fontId="3" fillId="15" borderId="66" xfId="0" applyFont="1" applyFill="1" applyBorder="1"/>
    <xf numFmtId="168" fontId="0" fillId="0" borderId="0" xfId="9" applyNumberFormat="1" applyFont="1"/>
    <xf numFmtId="0" fontId="3" fillId="15" borderId="51" xfId="0" applyFont="1" applyFill="1" applyBorder="1" applyAlignment="1">
      <alignment horizontal="center"/>
    </xf>
    <xf numFmtId="0" fontId="3" fillId="15" borderId="11" xfId="0" applyFont="1" applyFill="1" applyBorder="1"/>
    <xf numFmtId="2" fontId="0" fillId="0" borderId="12" xfId="0" applyNumberFormat="1" applyBorder="1"/>
    <xf numFmtId="2" fontId="0" fillId="0" borderId="39" xfId="0" applyNumberFormat="1" applyBorder="1"/>
    <xf numFmtId="166" fontId="0" fillId="0" borderId="39" xfId="0" applyNumberFormat="1" applyBorder="1"/>
    <xf numFmtId="1" fontId="0" fillId="0" borderId="12" xfId="0" applyNumberFormat="1" applyBorder="1"/>
    <xf numFmtId="1" fontId="0" fillId="0" borderId="52" xfId="0" applyNumberFormat="1" applyBorder="1"/>
    <xf numFmtId="0" fontId="3" fillId="15" borderId="24" xfId="0" applyFont="1" applyFill="1" applyBorder="1"/>
    <xf numFmtId="0" fontId="0" fillId="0" borderId="67" xfId="0" applyBorder="1"/>
    <xf numFmtId="0" fontId="0" fillId="22" borderId="12" xfId="0" applyFill="1" applyBorder="1"/>
    <xf numFmtId="0" fontId="3" fillId="0" borderId="0" xfId="0" applyFont="1"/>
    <xf numFmtId="2" fontId="0" fillId="0" borderId="29" xfId="0" applyNumberFormat="1" applyBorder="1"/>
    <xf numFmtId="0" fontId="0" fillId="22" borderId="26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164" fontId="0" fillId="0" borderId="12" xfId="0" applyNumberFormat="1" applyBorder="1"/>
    <xf numFmtId="0" fontId="0" fillId="12" borderId="1" xfId="0" applyFill="1" applyBorder="1" applyAlignment="1">
      <alignment horizontal="center" vertical="center"/>
    </xf>
    <xf numFmtId="0" fontId="3" fillId="15" borderId="69" xfId="0" applyFont="1" applyFill="1" applyBorder="1"/>
    <xf numFmtId="0" fontId="0" fillId="22" borderId="39" xfId="0" applyFill="1" applyBorder="1" applyAlignment="1">
      <alignment horizontal="center"/>
    </xf>
    <xf numFmtId="0" fontId="0" fillId="23" borderId="1" xfId="0" applyFill="1" applyBorder="1" applyAlignment="1">
      <alignment horizontal="center" vertical="center"/>
    </xf>
    <xf numFmtId="0" fontId="5" fillId="4" borderId="4" xfId="3" applyBorder="1" applyAlignment="1">
      <alignment horizontal="center"/>
    </xf>
    <xf numFmtId="164" fontId="0" fillId="0" borderId="52" xfId="0" applyNumberFormat="1" applyBorder="1"/>
    <xf numFmtId="0" fontId="3" fillId="20" borderId="30" xfId="0" applyFon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4" fillId="17" borderId="65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21" borderId="65" xfId="0" applyFont="1" applyFill="1" applyBorder="1" applyAlignment="1">
      <alignment horizontal="center" vertical="center"/>
    </xf>
    <xf numFmtId="0" fontId="4" fillId="13" borderId="65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3" fillId="20" borderId="30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22" borderId="11" xfId="0" applyFont="1" applyFill="1" applyBorder="1" applyAlignment="1">
      <alignment horizontal="center"/>
    </xf>
    <xf numFmtId="0" fontId="3" fillId="15" borderId="65" xfId="0" applyFont="1" applyFill="1" applyBorder="1" applyAlignment="1">
      <alignment horizontal="center"/>
    </xf>
    <xf numFmtId="0" fontId="3" fillId="15" borderId="66" xfId="0" applyFont="1" applyFill="1" applyBorder="1" applyAlignment="1">
      <alignment horizontal="center"/>
    </xf>
    <xf numFmtId="0" fontId="4" fillId="22" borderId="13" xfId="0" applyFont="1" applyFill="1" applyBorder="1" applyAlignment="1">
      <alignment horizontal="center"/>
    </xf>
    <xf numFmtId="0" fontId="4" fillId="22" borderId="14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3" fillId="4" borderId="1" xfId="3" applyNumberFormat="1" applyFont="1" applyBorder="1" applyAlignment="1">
      <alignment horizontal="center"/>
    </xf>
    <xf numFmtId="2" fontId="4" fillId="24" borderId="1" xfId="0" applyNumberFormat="1" applyFont="1" applyFill="1" applyBorder="1" applyAlignment="1">
      <alignment horizontal="center"/>
    </xf>
    <xf numFmtId="2" fontId="3" fillId="25" borderId="1" xfId="0" applyNumberFormat="1" applyFont="1" applyFill="1" applyBorder="1" applyAlignment="1">
      <alignment horizontal="center"/>
    </xf>
    <xf numFmtId="2" fontId="4" fillId="0" borderId="1" xfId="0" applyNumberFormat="1" applyFont="1" applyBorder="1"/>
    <xf numFmtId="2" fontId="3" fillId="4" borderId="4" xfId="3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3" fillId="11" borderId="1" xfId="8" applyFont="1" applyBorder="1" applyAlignment="1">
      <alignment horizontal="center"/>
    </xf>
    <xf numFmtId="0" fontId="4" fillId="26" borderId="1" xfId="0" applyFont="1" applyFill="1" applyBorder="1"/>
    <xf numFmtId="0" fontId="4" fillId="0" borderId="1" xfId="0" applyFont="1" applyBorder="1"/>
    <xf numFmtId="0" fontId="16" fillId="0" borderId="0" xfId="0" applyFont="1" applyAlignment="1">
      <alignment vertical="center"/>
    </xf>
    <xf numFmtId="0" fontId="3" fillId="11" borderId="13" xfId="8" applyFont="1" applyBorder="1"/>
    <xf numFmtId="0" fontId="3" fillId="11" borderId="44" xfId="8" applyFont="1" applyBorder="1"/>
    <xf numFmtId="0" fontId="3" fillId="11" borderId="47" xfId="8" applyFont="1" applyBorder="1"/>
    <xf numFmtId="0" fontId="3" fillId="11" borderId="14" xfId="8" applyFont="1" applyBorder="1"/>
    <xf numFmtId="0" fontId="3" fillId="11" borderId="13" xfId="8" applyFont="1" applyBorder="1" applyAlignment="1">
      <alignment horizontal="center" vertical="center"/>
    </xf>
    <xf numFmtId="0" fontId="3" fillId="11" borderId="42" xfId="8" applyFont="1" applyBorder="1" applyAlignment="1">
      <alignment horizontal="center" vertical="center"/>
    </xf>
    <xf numFmtId="0" fontId="3" fillId="11" borderId="44" xfId="8" applyFont="1" applyBorder="1" applyAlignment="1">
      <alignment horizontal="center"/>
    </xf>
    <xf numFmtId="0" fontId="3" fillId="11" borderId="14" xfId="8" applyFont="1" applyBorder="1" applyAlignment="1">
      <alignment horizontal="center"/>
    </xf>
    <xf numFmtId="0" fontId="3" fillId="11" borderId="15" xfId="8" applyFont="1" applyBorder="1" applyAlignment="1">
      <alignment horizontal="center"/>
    </xf>
    <xf numFmtId="0" fontId="4" fillId="0" borderId="16" xfId="0" applyFont="1" applyBorder="1"/>
    <xf numFmtId="0" fontId="3" fillId="11" borderId="15" xfId="8" applyFont="1" applyBorder="1" applyAlignment="1">
      <alignment horizontal="center" vertical="center"/>
    </xf>
    <xf numFmtId="0" fontId="3" fillId="11" borderId="53" xfId="8" applyFont="1" applyBorder="1" applyAlignment="1">
      <alignment horizontal="center" vertical="center"/>
    </xf>
    <xf numFmtId="0" fontId="3" fillId="11" borderId="1" xfId="8" applyFont="1" applyBorder="1"/>
    <xf numFmtId="0" fontId="3" fillId="11" borderId="16" xfId="8" applyFont="1" applyBorder="1"/>
    <xf numFmtId="0" fontId="4" fillId="26" borderId="8" xfId="0" applyFont="1" applyFill="1" applyBorder="1"/>
    <xf numFmtId="0" fontId="17" fillId="0" borderId="1" xfId="0" applyFont="1" applyBorder="1"/>
    <xf numFmtId="168" fontId="4" fillId="0" borderId="1" xfId="9" applyNumberFormat="1" applyFont="1" applyBorder="1"/>
    <xf numFmtId="169" fontId="4" fillId="0" borderId="1" xfId="0" applyNumberFormat="1" applyFont="1" applyBorder="1"/>
    <xf numFmtId="0" fontId="3" fillId="11" borderId="17" xfId="8" applyFont="1" applyBorder="1" applyAlignment="1">
      <alignment horizontal="center"/>
    </xf>
    <xf numFmtId="0" fontId="4" fillId="0" borderId="48" xfId="0" applyFont="1" applyBorder="1"/>
    <xf numFmtId="2" fontId="4" fillId="0" borderId="48" xfId="0" applyNumberFormat="1" applyFont="1" applyBorder="1"/>
    <xf numFmtId="0" fontId="4" fillId="0" borderId="18" xfId="0" applyFont="1" applyBorder="1"/>
    <xf numFmtId="169" fontId="0" fillId="0" borderId="0" xfId="0" applyNumberFormat="1"/>
    <xf numFmtId="2" fontId="4" fillId="0" borderId="1" xfId="0" applyNumberFormat="1" applyFont="1" applyBorder="1" applyAlignment="1">
      <alignment horizontal="left"/>
    </xf>
    <xf numFmtId="0" fontId="4" fillId="22" borderId="1" xfId="0" applyFont="1" applyFill="1" applyBorder="1" applyAlignment="1">
      <alignment horizontal="center" vertical="center"/>
    </xf>
    <xf numFmtId="2" fontId="4" fillId="0" borderId="16" xfId="0" applyNumberFormat="1" applyFont="1" applyBorder="1"/>
    <xf numFmtId="0" fontId="4" fillId="26" borderId="0" xfId="0" applyFont="1" applyFill="1"/>
    <xf numFmtId="170" fontId="4" fillId="0" borderId="1" xfId="0" applyNumberFormat="1" applyFont="1" applyBorder="1"/>
    <xf numFmtId="164" fontId="0" fillId="0" borderId="52" xfId="0" applyNumberFormat="1" applyBorder="1" applyAlignment="1">
      <alignment horizontal="center" vertical="center"/>
    </xf>
    <xf numFmtId="171" fontId="0" fillId="0" borderId="0" xfId="0" applyNumberFormat="1"/>
    <xf numFmtId="2" fontId="17" fillId="0" borderId="1" xfId="0" applyNumberFormat="1" applyFont="1" applyBorder="1"/>
    <xf numFmtId="10" fontId="4" fillId="0" borderId="1" xfId="9" applyNumberFormat="1" applyFont="1" applyBorder="1"/>
    <xf numFmtId="166" fontId="4" fillId="0" borderId="1" xfId="0" applyNumberFormat="1" applyFont="1" applyBorder="1"/>
    <xf numFmtId="0" fontId="3" fillId="27" borderId="3" xfId="8" applyFont="1" applyFill="1" applyBorder="1" applyAlignment="1">
      <alignment horizontal="center"/>
    </xf>
    <xf numFmtId="0" fontId="3" fillId="27" borderId="1" xfId="8" applyFont="1" applyFill="1" applyBorder="1" applyAlignment="1">
      <alignment horizontal="center"/>
    </xf>
    <xf numFmtId="0" fontId="3" fillId="27" borderId="0" xfId="8" applyFont="1" applyFill="1" applyAlignment="1">
      <alignment horizontal="center"/>
    </xf>
    <xf numFmtId="164" fontId="3" fillId="27" borderId="1" xfId="8" applyNumberFormat="1" applyFont="1" applyFill="1" applyBorder="1" applyAlignment="1">
      <alignment horizontal="center"/>
    </xf>
    <xf numFmtId="164" fontId="3" fillId="27" borderId="45" xfId="8" applyNumberFormat="1" applyFont="1" applyFill="1" applyBorder="1" applyAlignment="1">
      <alignment horizontal="center"/>
    </xf>
    <xf numFmtId="0" fontId="3" fillId="27" borderId="54" xfId="8" applyFont="1" applyFill="1" applyBorder="1" applyAlignment="1">
      <alignment horizontal="center"/>
    </xf>
    <xf numFmtId="2" fontId="4" fillId="0" borderId="13" xfId="0" applyNumberFormat="1" applyFont="1" applyBorder="1"/>
    <xf numFmtId="2" fontId="4" fillId="0" borderId="44" xfId="0" applyNumberFormat="1" applyFont="1" applyBorder="1"/>
    <xf numFmtId="0" fontId="4" fillId="0" borderId="44" xfId="0" applyFont="1" applyBorder="1"/>
    <xf numFmtId="0" fontId="4" fillId="0" borderId="14" xfId="0" applyFont="1" applyBorder="1"/>
    <xf numFmtId="0" fontId="4" fillId="16" borderId="38" xfId="0" applyFont="1" applyFill="1" applyBorder="1"/>
    <xf numFmtId="2" fontId="4" fillId="0" borderId="39" xfId="0" applyNumberFormat="1" applyFont="1" applyBorder="1"/>
    <xf numFmtId="0" fontId="17" fillId="16" borderId="26" xfId="8" applyFont="1" applyFill="1" applyBorder="1"/>
    <xf numFmtId="0" fontId="4" fillId="0" borderId="27" xfId="0" applyFont="1" applyBorder="1"/>
    <xf numFmtId="0" fontId="17" fillId="16" borderId="13" xfId="8" applyFont="1" applyFill="1" applyBorder="1"/>
    <xf numFmtId="0" fontId="4" fillId="16" borderId="66" xfId="0" applyFont="1" applyFill="1" applyBorder="1"/>
    <xf numFmtId="2" fontId="4" fillId="0" borderId="52" xfId="0" applyNumberFormat="1" applyFont="1" applyBorder="1"/>
    <xf numFmtId="0" fontId="17" fillId="16" borderId="17" xfId="8" applyFont="1" applyFill="1" applyBorder="1"/>
    <xf numFmtId="0" fontId="4" fillId="16" borderId="11" xfId="0" applyFont="1" applyFill="1" applyBorder="1"/>
    <xf numFmtId="0" fontId="4" fillId="0" borderId="12" xfId="0" applyFont="1" applyBorder="1"/>
    <xf numFmtId="0" fontId="3" fillId="28" borderId="13" xfId="8" applyFont="1" applyFill="1" applyBorder="1" applyAlignment="1">
      <alignment horizontal="center"/>
    </xf>
    <xf numFmtId="0" fontId="3" fillId="28" borderId="44" xfId="8" applyFont="1" applyFill="1" applyBorder="1" applyAlignment="1">
      <alignment horizontal="center"/>
    </xf>
    <xf numFmtId="0" fontId="3" fillId="28" borderId="14" xfId="8" applyFont="1" applyFill="1" applyBorder="1" applyAlignment="1">
      <alignment horizontal="center"/>
    </xf>
    <xf numFmtId="0" fontId="3" fillId="28" borderId="42" xfId="8" applyFont="1" applyFill="1" applyBorder="1" applyAlignment="1">
      <alignment horizontal="center"/>
    </xf>
    <xf numFmtId="0" fontId="3" fillId="28" borderId="42" xfId="8" applyFont="1" applyFill="1" applyBorder="1"/>
    <xf numFmtId="0" fontId="3" fillId="28" borderId="43" xfId="8" applyFont="1" applyFill="1" applyBorder="1"/>
    <xf numFmtId="0" fontId="3" fillId="28" borderId="71" xfId="8" applyFont="1" applyFill="1" applyBorder="1" applyAlignment="1">
      <alignment horizontal="center"/>
    </xf>
    <xf numFmtId="0" fontId="4" fillId="0" borderId="39" xfId="0" applyFont="1" applyBorder="1"/>
    <xf numFmtId="0" fontId="3" fillId="28" borderId="15" xfId="8" applyFont="1" applyFill="1" applyBorder="1" applyAlignment="1">
      <alignment horizontal="center"/>
    </xf>
    <xf numFmtId="0" fontId="4" fillId="0" borderId="29" xfId="0" applyFont="1" applyBorder="1"/>
    <xf numFmtId="0" fontId="3" fillId="28" borderId="22" xfId="8" applyFont="1" applyFill="1" applyBorder="1" applyAlignment="1">
      <alignment horizontal="center"/>
    </xf>
    <xf numFmtId="0" fontId="4" fillId="0" borderId="13" xfId="0" applyFont="1" applyBorder="1"/>
    <xf numFmtId="166" fontId="4" fillId="0" borderId="52" xfId="0" applyNumberFormat="1" applyFont="1" applyBorder="1"/>
    <xf numFmtId="0" fontId="4" fillId="0" borderId="15" xfId="0" applyFont="1" applyBorder="1"/>
    <xf numFmtId="167" fontId="17" fillId="0" borderId="52" xfId="0" applyNumberFormat="1" applyFont="1" applyBorder="1"/>
    <xf numFmtId="0" fontId="3" fillId="28" borderId="17" xfId="8" applyFont="1" applyFill="1" applyBorder="1" applyAlignment="1">
      <alignment horizontal="center"/>
    </xf>
    <xf numFmtId="0" fontId="4" fillId="0" borderId="52" xfId="0" applyFont="1" applyBorder="1"/>
    <xf numFmtId="0" fontId="3" fillId="28" borderId="24" xfId="8" applyFont="1" applyFill="1" applyBorder="1" applyAlignment="1">
      <alignment horizontal="center"/>
    </xf>
    <xf numFmtId="0" fontId="4" fillId="0" borderId="17" xfId="0" applyFont="1" applyBorder="1"/>
    <xf numFmtId="0" fontId="4" fillId="0" borderId="53" xfId="0" applyFont="1" applyBorder="1"/>
    <xf numFmtId="0" fontId="19" fillId="0" borderId="0" xfId="10"/>
    <xf numFmtId="0" fontId="0" fillId="7" borderId="0" xfId="0" applyFill="1"/>
    <xf numFmtId="0" fontId="5" fillId="11" borderId="1" xfId="8" applyBorder="1"/>
    <xf numFmtId="0" fontId="5" fillId="11" borderId="1" xfId="8" applyBorder="1" applyAlignment="1">
      <alignment horizontal="center"/>
    </xf>
    <xf numFmtId="0" fontId="5" fillId="11" borderId="1" xfId="8" applyBorder="1" applyAlignment="1">
      <alignment horizontal="center" vertical="center"/>
    </xf>
    <xf numFmtId="0" fontId="5" fillId="11" borderId="3" xfId="8" applyBorder="1" applyAlignment="1">
      <alignment horizontal="center"/>
    </xf>
    <xf numFmtId="2" fontId="20" fillId="16" borderId="19" xfId="0" applyNumberFormat="1" applyFont="1" applyFill="1" applyBorder="1" applyAlignment="1">
      <alignment horizontal="center" vertical="center"/>
    </xf>
    <xf numFmtId="2" fontId="0" fillId="16" borderId="46" xfId="0" applyNumberFormat="1" applyFill="1" applyBorder="1" applyAlignment="1">
      <alignment horizontal="center" vertical="center"/>
    </xf>
    <xf numFmtId="2" fontId="0" fillId="16" borderId="27" xfId="0" applyNumberFormat="1" applyFill="1" applyBorder="1" applyAlignment="1">
      <alignment horizontal="center" vertical="center"/>
    </xf>
    <xf numFmtId="2" fontId="20" fillId="16" borderId="23" xfId="0" applyNumberFormat="1" applyFont="1" applyFill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20" fillId="16" borderId="31" xfId="0" applyNumberFormat="1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20" fillId="16" borderId="72" xfId="0" applyNumberFormat="1" applyFont="1" applyFill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165" fontId="17" fillId="29" borderId="13" xfId="8" applyNumberFormat="1" applyFont="1" applyFill="1" applyBorder="1" applyAlignment="1">
      <alignment horizontal="center"/>
    </xf>
    <xf numFmtId="2" fontId="17" fillId="29" borderId="44" xfId="8" applyNumberFormat="1" applyFont="1" applyFill="1" applyBorder="1" applyAlignment="1">
      <alignment horizontal="center"/>
    </xf>
    <xf numFmtId="2" fontId="17" fillId="29" borderId="14" xfId="8" applyNumberFormat="1" applyFont="1" applyFill="1" applyBorder="1" applyAlignment="1">
      <alignment horizontal="center"/>
    </xf>
    <xf numFmtId="165" fontId="17" fillId="29" borderId="15" xfId="8" applyNumberFormat="1" applyFont="1" applyFill="1" applyBorder="1" applyAlignment="1">
      <alignment horizontal="center"/>
    </xf>
    <xf numFmtId="165" fontId="4" fillId="0" borderId="1" xfId="0" applyNumberFormat="1" applyFont="1" applyBorder="1"/>
    <xf numFmtId="165" fontId="4" fillId="0" borderId="16" xfId="0" applyNumberFormat="1" applyFont="1" applyBorder="1"/>
    <xf numFmtId="0" fontId="4" fillId="31" borderId="19" xfId="0" applyFont="1" applyFill="1" applyBorder="1"/>
    <xf numFmtId="0" fontId="4" fillId="31" borderId="47" xfId="0" applyFont="1" applyFill="1" applyBorder="1" applyAlignment="1">
      <alignment horizontal="center" vertical="center"/>
    </xf>
    <xf numFmtId="0" fontId="4" fillId="31" borderId="14" xfId="0" applyFont="1" applyFill="1" applyBorder="1" applyAlignment="1">
      <alignment horizontal="center" vertical="center"/>
    </xf>
    <xf numFmtId="0" fontId="4" fillId="31" borderId="33" xfId="0" applyFont="1" applyFill="1" applyBorder="1"/>
    <xf numFmtId="0" fontId="4" fillId="0" borderId="58" xfId="0" applyFont="1" applyBorder="1"/>
    <xf numFmtId="0" fontId="4" fillId="31" borderId="17" xfId="0" applyFont="1" applyFill="1" applyBorder="1"/>
    <xf numFmtId="0" fontId="4" fillId="0" borderId="68" xfId="0" applyFont="1" applyBorder="1"/>
    <xf numFmtId="0" fontId="4" fillId="0" borderId="50" xfId="0" applyFont="1" applyBorder="1"/>
    <xf numFmtId="165" fontId="17" fillId="29" borderId="17" xfId="8" applyNumberFormat="1" applyFont="1" applyFill="1" applyBorder="1" applyAlignment="1">
      <alignment horizontal="center"/>
    </xf>
    <xf numFmtId="165" fontId="4" fillId="0" borderId="48" xfId="0" applyNumberFormat="1" applyFont="1" applyBorder="1" applyAlignment="1">
      <alignment horizontal="center"/>
    </xf>
    <xf numFmtId="165" fontId="4" fillId="0" borderId="48" xfId="0" applyNumberFormat="1" applyFont="1" applyBorder="1"/>
    <xf numFmtId="165" fontId="4" fillId="0" borderId="18" xfId="0" applyNumberFormat="1" applyFont="1" applyBorder="1"/>
    <xf numFmtId="165" fontId="17" fillId="29" borderId="13" xfId="8" applyNumberFormat="1" applyFont="1" applyFill="1" applyBorder="1"/>
    <xf numFmtId="165" fontId="4" fillId="0" borderId="14" xfId="0" applyNumberFormat="1" applyFont="1" applyBorder="1"/>
    <xf numFmtId="165" fontId="4" fillId="0" borderId="0" xfId="0" applyNumberFormat="1" applyFont="1"/>
    <xf numFmtId="165" fontId="17" fillId="29" borderId="44" xfId="8" applyNumberFormat="1" applyFont="1" applyFill="1" applyBorder="1"/>
    <xf numFmtId="165" fontId="17" fillId="29" borderId="14" xfId="8" applyNumberFormat="1" applyFont="1" applyFill="1" applyBorder="1"/>
    <xf numFmtId="165" fontId="17" fillId="29" borderId="14" xfId="8" applyNumberFormat="1" applyFont="1" applyFill="1" applyBorder="1" applyAlignment="1">
      <alignment horizontal="center"/>
    </xf>
    <xf numFmtId="165" fontId="17" fillId="29" borderId="17" xfId="8" applyNumberFormat="1" applyFont="1" applyFill="1" applyBorder="1"/>
    <xf numFmtId="165" fontId="17" fillId="29" borderId="15" xfId="8" applyNumberFormat="1" applyFont="1" applyFill="1" applyBorder="1"/>
    <xf numFmtId="165" fontId="17" fillId="0" borderId="16" xfId="0" applyNumberFormat="1" applyFont="1" applyBorder="1"/>
    <xf numFmtId="165" fontId="17" fillId="0" borderId="0" xfId="0" applyNumberFormat="1" applyFont="1"/>
    <xf numFmtId="165" fontId="17" fillId="0" borderId="18" xfId="0" applyNumberFormat="1" applyFont="1" applyBorder="1"/>
    <xf numFmtId="0" fontId="4" fillId="29" borderId="13" xfId="0" applyFont="1" applyFill="1" applyBorder="1" applyAlignment="1">
      <alignment horizontal="center" vertical="center"/>
    </xf>
    <xf numFmtId="0" fontId="4" fillId="29" borderId="44" xfId="0" applyFont="1" applyFill="1" applyBorder="1" applyAlignment="1">
      <alignment horizontal="center"/>
    </xf>
    <xf numFmtId="0" fontId="4" fillId="29" borderId="14" xfId="0" applyFont="1" applyFill="1" applyBorder="1" applyAlignment="1">
      <alignment horizontal="center"/>
    </xf>
    <xf numFmtId="0" fontId="4" fillId="29" borderId="15" xfId="0" applyFont="1" applyFill="1" applyBorder="1" applyAlignment="1">
      <alignment horizontal="center" vertical="center"/>
    </xf>
    <xf numFmtId="0" fontId="4" fillId="29" borderId="17" xfId="0" applyFont="1" applyFill="1" applyBorder="1" applyAlignment="1">
      <alignment horizontal="center" vertical="center"/>
    </xf>
    <xf numFmtId="0" fontId="0" fillId="32" borderId="1" xfId="0" applyFill="1" applyBorder="1" applyAlignment="1">
      <alignment horizontal="center"/>
    </xf>
    <xf numFmtId="0" fontId="5" fillId="33" borderId="1" xfId="6" applyFill="1" applyBorder="1"/>
    <xf numFmtId="0" fontId="0" fillId="23" borderId="6" xfId="0" applyFill="1" applyBorder="1" applyAlignment="1">
      <alignment horizontal="center"/>
    </xf>
    <xf numFmtId="0" fontId="0" fillId="23" borderId="0" xfId="0" applyFill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164" fontId="2" fillId="9" borderId="1" xfId="7" applyNumberFormat="1" applyBorder="1" applyAlignment="1">
      <alignment horizontal="center"/>
    </xf>
    <xf numFmtId="164" fontId="5" fillId="3" borderId="0" xfId="2" applyNumberFormat="1" applyAlignment="1">
      <alignment horizontal="center"/>
    </xf>
    <xf numFmtId="164" fontId="5" fillId="8" borderId="0" xfId="6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3" borderId="9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5" fillId="33" borderId="1" xfId="6" applyFill="1" applyBorder="1" applyAlignment="1">
      <alignment horizontal="center"/>
    </xf>
    <xf numFmtId="164" fontId="5" fillId="11" borderId="3" xfId="8" applyNumberFormat="1" applyBorder="1" applyAlignment="1">
      <alignment horizontal="center"/>
    </xf>
    <xf numFmtId="164" fontId="5" fillId="11" borderId="7" xfId="8" applyNumberFormat="1" applyBorder="1" applyAlignment="1">
      <alignment horizontal="center"/>
    </xf>
    <xf numFmtId="164" fontId="5" fillId="11" borderId="8" xfId="8" applyNumberFormat="1" applyBorder="1" applyAlignment="1">
      <alignment horizontal="center"/>
    </xf>
    <xf numFmtId="164" fontId="5" fillId="11" borderId="10" xfId="8" applyNumberFormat="1" applyBorder="1" applyAlignment="1">
      <alignment horizontal="center"/>
    </xf>
    <xf numFmtId="164" fontId="5" fillId="11" borderId="0" xfId="8" applyNumberFormat="1" applyBorder="1" applyAlignment="1">
      <alignment horizontal="center"/>
    </xf>
    <xf numFmtId="164" fontId="5" fillId="11" borderId="5" xfId="8" applyNumberFormat="1" applyBorder="1" applyAlignment="1">
      <alignment horizontal="center"/>
    </xf>
    <xf numFmtId="164" fontId="5" fillId="11" borderId="1" xfId="8" applyNumberFormat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38" xfId="0" applyFill="1" applyBorder="1" applyAlignment="1">
      <alignment horizontal="center"/>
    </xf>
    <xf numFmtId="0" fontId="0" fillId="16" borderId="3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9" fillId="14" borderId="0" xfId="0" applyFont="1" applyFill="1" applyAlignment="1">
      <alignment horizontal="center" vertical="center"/>
    </xf>
    <xf numFmtId="0" fontId="5" fillId="4" borderId="3" xfId="3" applyBorder="1" applyAlignment="1">
      <alignment horizontal="center"/>
    </xf>
    <xf numFmtId="0" fontId="5" fillId="4" borderId="7" xfId="3" applyBorder="1" applyAlignment="1">
      <alignment horizontal="center"/>
    </xf>
    <xf numFmtId="0" fontId="5" fillId="4" borderId="8" xfId="3" applyBorder="1" applyAlignment="1">
      <alignment horizontal="center"/>
    </xf>
    <xf numFmtId="0" fontId="5" fillId="4" borderId="60" xfId="3" applyBorder="1" applyAlignment="1">
      <alignment horizontal="center"/>
    </xf>
    <xf numFmtId="0" fontId="5" fillId="4" borderId="59" xfId="3" applyBorder="1" applyAlignment="1">
      <alignment horizontal="center"/>
    </xf>
    <xf numFmtId="0" fontId="5" fillId="4" borderId="61" xfId="3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/>
    </xf>
    <xf numFmtId="0" fontId="0" fillId="0" borderId="7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8" xfId="0" applyFont="1" applyBorder="1" applyAlignment="1">
      <alignment horizontal="center"/>
    </xf>
    <xf numFmtId="0" fontId="14" fillId="18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2" fontId="3" fillId="4" borderId="1" xfId="3" applyNumberFormat="1" applyFont="1" applyBorder="1" applyAlignment="1">
      <alignment horizontal="center"/>
    </xf>
    <xf numFmtId="0" fontId="3" fillId="11" borderId="1" xfId="8" applyFont="1" applyBorder="1" applyAlignment="1">
      <alignment horizontal="center"/>
    </xf>
    <xf numFmtId="0" fontId="18" fillId="27" borderId="70" xfId="8" applyFont="1" applyFill="1" applyBorder="1" applyAlignment="1">
      <alignment horizontal="center" vertical="center"/>
    </xf>
    <xf numFmtId="0" fontId="18" fillId="27" borderId="0" xfId="8" applyFont="1" applyFill="1" applyBorder="1" applyAlignment="1">
      <alignment horizontal="center" vertical="center"/>
    </xf>
    <xf numFmtId="0" fontId="3" fillId="27" borderId="3" xfId="8" applyFont="1" applyFill="1" applyBorder="1" applyAlignment="1">
      <alignment horizontal="center"/>
    </xf>
    <xf numFmtId="0" fontId="3" fillId="27" borderId="7" xfId="8" applyFont="1" applyFill="1" applyBorder="1" applyAlignment="1">
      <alignment horizontal="center"/>
    </xf>
    <xf numFmtId="0" fontId="3" fillId="27" borderId="8" xfId="8" applyFont="1" applyFill="1" applyBorder="1" applyAlignment="1">
      <alignment horizontal="center"/>
    </xf>
    <xf numFmtId="0" fontId="3" fillId="27" borderId="1" xfId="8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2" xfId="0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5" fillId="11" borderId="3" xfId="8" applyBorder="1" applyAlignment="1">
      <alignment horizontal="center"/>
    </xf>
    <xf numFmtId="0" fontId="5" fillId="11" borderId="8" xfId="8" applyBorder="1" applyAlignment="1">
      <alignment horizontal="center"/>
    </xf>
    <xf numFmtId="0" fontId="5" fillId="11" borderId="1" xfId="8" applyBorder="1" applyAlignment="1">
      <alignment horizontal="center"/>
    </xf>
    <xf numFmtId="0" fontId="5" fillId="11" borderId="2" xfId="8" applyBorder="1" applyAlignment="1">
      <alignment horizontal="center"/>
    </xf>
    <xf numFmtId="0" fontId="15" fillId="0" borderId="68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6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4" fillId="3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11" borderId="7" xfId="8" applyBorder="1" applyAlignment="1">
      <alignment horizontal="center"/>
    </xf>
    <xf numFmtId="0" fontId="5" fillId="11" borderId="54" xfId="8" applyBorder="1" applyAlignment="1">
      <alignment horizontal="center"/>
    </xf>
    <xf numFmtId="0" fontId="5" fillId="11" borderId="70" xfId="8" applyBorder="1" applyAlignment="1">
      <alignment horizontal="center"/>
    </xf>
    <xf numFmtId="0" fontId="5" fillId="11" borderId="62" xfId="8" applyBorder="1" applyAlignment="1">
      <alignment horizontal="center"/>
    </xf>
  </cellXfs>
  <cellStyles count="11">
    <cellStyle name="20% - Accent2" xfId="7" builtinId="34"/>
    <cellStyle name="Accent1" xfId="1" builtinId="29"/>
    <cellStyle name="Accent2" xfId="6" builtinId="33"/>
    <cellStyle name="Accent3" xfId="8" builtinId="37"/>
    <cellStyle name="Accent4" xfId="2" builtinId="41"/>
    <cellStyle name="Accent5" xfId="3" builtinId="45"/>
    <cellStyle name="Accent6" xfId="4" builtinId="49"/>
    <cellStyle name="Hyperlink" xfId="10" builtinId="8"/>
    <cellStyle name="Normal" xfId="0" builtinId="0"/>
    <cellStyle name="Percent" xfId="9" builtinId="5"/>
    <cellStyle name="Vírgula 2" xfId="5" xr:uid="{DE5B36A3-3EA5-4870-92D5-1E330B25D72C}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Run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'OffSet da Hull'!$P$6</c:f>
              <c:strCache>
                <c:ptCount val="1"/>
                <c:pt idx="0">
                  <c:v>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'OffSet da Hull'!$U$6:$Y$6</c:f>
              <c:numCache>
                <c:formatCode>0.000</c:formatCode>
                <c:ptCount val="5"/>
                <c:pt idx="0">
                  <c:v>0</c:v>
                </c:pt>
                <c:pt idx="1">
                  <c:v>1.1092500000000001</c:v>
                </c:pt>
                <c:pt idx="2">
                  <c:v>3.5235000000000003</c:v>
                </c:pt>
                <c:pt idx="3">
                  <c:v>4.6063863636363624</c:v>
                </c:pt>
                <c:pt idx="4">
                  <c:v>5.5462500000000006</c:v>
                </c:pt>
              </c:numCache>
            </c:numRef>
          </c:xVal>
          <c:yVal>
            <c:numRef>
              <c:f>'OffSet da Hull'!$U$5:$Y$5</c:f>
              <c:numCache>
                <c:formatCode>0.000</c:formatCode>
                <c:ptCount val="5"/>
                <c:pt idx="0">
                  <c:v>7.4250000000000007</c:v>
                </c:pt>
                <c:pt idx="1">
                  <c:v>9.9</c:v>
                </c:pt>
                <c:pt idx="2">
                  <c:v>12.375</c:v>
                </c:pt>
                <c:pt idx="3">
                  <c:v>13.7</c:v>
                </c:pt>
                <c:pt idx="4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0B5-44F1-9F86-475A523F3E22}"/>
            </c:ext>
          </c:extLst>
        </c:ser>
        <c:ser>
          <c:idx val="1"/>
          <c:order val="1"/>
          <c:tx>
            <c:strRef>
              <c:f>'OffSet da Hull'!$P$7</c:f>
              <c:strCache>
                <c:ptCount val="1"/>
                <c:pt idx="0">
                  <c:v>R-1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'OffSet da Hull'!$Q$7:$Y$7</c:f>
              <c:numCache>
                <c:formatCode>0.000</c:formatCode>
                <c:ptCount val="9"/>
                <c:pt idx="0">
                  <c:v>0.26100000000000001</c:v>
                </c:pt>
                <c:pt idx="1">
                  <c:v>0.78300000000000003</c:v>
                </c:pt>
                <c:pt idx="2">
                  <c:v>1.044</c:v>
                </c:pt>
                <c:pt idx="3">
                  <c:v>1.1745000000000001</c:v>
                </c:pt>
                <c:pt idx="4">
                  <c:v>1.7617500000000001</c:v>
                </c:pt>
                <c:pt idx="5">
                  <c:v>4.3065000000000007</c:v>
                </c:pt>
                <c:pt idx="6">
                  <c:v>7.1122500000000013</c:v>
                </c:pt>
                <c:pt idx="7">
                  <c:v>8.1252727272727263</c:v>
                </c:pt>
                <c:pt idx="8">
                  <c:v>9.0045000000000002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0B5-44F1-9F86-475A523F3E22}"/>
            </c:ext>
          </c:extLst>
        </c:ser>
        <c:ser>
          <c:idx val="2"/>
          <c:order val="2"/>
          <c:tx>
            <c:strRef>
              <c:f>'OffSet da Hull'!$P$8</c:f>
              <c:strCache>
                <c:ptCount val="1"/>
                <c:pt idx="0">
                  <c:v>R-2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'OffSet da Hull'!$Q$8:$Y$8</c:f>
              <c:numCache>
                <c:formatCode>0.000</c:formatCode>
                <c:ptCount val="9"/>
                <c:pt idx="0">
                  <c:v>0.84825000000000006</c:v>
                </c:pt>
                <c:pt idx="1">
                  <c:v>2.1532500000000003</c:v>
                </c:pt>
                <c:pt idx="2">
                  <c:v>2.8057500000000002</c:v>
                </c:pt>
                <c:pt idx="3">
                  <c:v>3.5235000000000003</c:v>
                </c:pt>
                <c:pt idx="4">
                  <c:v>4.7632500000000002</c:v>
                </c:pt>
                <c:pt idx="5">
                  <c:v>7.4384999999999994</c:v>
                </c:pt>
                <c:pt idx="6">
                  <c:v>9.5265000000000004</c:v>
                </c:pt>
                <c:pt idx="7">
                  <c:v>10.295</c:v>
                </c:pt>
                <c:pt idx="8">
                  <c:v>10.962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0B5-44F1-9F86-475A523F3E22}"/>
            </c:ext>
          </c:extLst>
        </c:ser>
        <c:ser>
          <c:idx val="3"/>
          <c:order val="3"/>
          <c:tx>
            <c:strRef>
              <c:f>'OffSet da Hull'!$P$9</c:f>
              <c:strCache>
                <c:ptCount val="1"/>
                <c:pt idx="0">
                  <c:v>R-3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'OffSet da Hull'!$Q$9:$Y$9</c:f>
              <c:numCache>
                <c:formatCode>0.000</c:formatCode>
                <c:ptCount val="9"/>
                <c:pt idx="0">
                  <c:v>2.2185000000000001</c:v>
                </c:pt>
                <c:pt idx="1">
                  <c:v>3.915</c:v>
                </c:pt>
                <c:pt idx="2">
                  <c:v>4.8285</c:v>
                </c:pt>
                <c:pt idx="3">
                  <c:v>6.1334999999999997</c:v>
                </c:pt>
                <c:pt idx="4">
                  <c:v>7.7647500000000003</c:v>
                </c:pt>
                <c:pt idx="5">
                  <c:v>9.7875000000000014</c:v>
                </c:pt>
                <c:pt idx="6">
                  <c:v>11.223000000000001</c:v>
                </c:pt>
                <c:pt idx="7">
                  <c:v>11.712045454545455</c:v>
                </c:pt>
                <c:pt idx="8">
                  <c:v>12.136500000000002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0B5-44F1-9F86-475A523F3E22}"/>
            </c:ext>
          </c:extLst>
        </c:ser>
        <c:ser>
          <c:idx val="4"/>
          <c:order val="4"/>
          <c:tx>
            <c:strRef>
              <c:f>'OffSet da Hull'!$P$10</c:f>
              <c:strCache>
                <c:ptCount val="1"/>
                <c:pt idx="0">
                  <c:v>R-4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'OffSet da Hull'!$Q$10:$Y$10</c:f>
              <c:numCache>
                <c:formatCode>0.000</c:formatCode>
                <c:ptCount val="9"/>
                <c:pt idx="0">
                  <c:v>4.1760000000000002</c:v>
                </c:pt>
                <c:pt idx="1">
                  <c:v>5.9377500000000003</c:v>
                </c:pt>
                <c:pt idx="2">
                  <c:v>7.0470000000000006</c:v>
                </c:pt>
                <c:pt idx="3">
                  <c:v>8.5477500000000006</c:v>
                </c:pt>
                <c:pt idx="4">
                  <c:v>10.113750000000001</c:v>
                </c:pt>
                <c:pt idx="5">
                  <c:v>11.3535</c:v>
                </c:pt>
                <c:pt idx="6">
                  <c:v>12.33225</c:v>
                </c:pt>
                <c:pt idx="7">
                  <c:v>12.611704545454545</c:v>
                </c:pt>
                <c:pt idx="8">
                  <c:v>12.85425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0B5-44F1-9F86-475A523F3E22}"/>
            </c:ext>
          </c:extLst>
        </c:ser>
        <c:ser>
          <c:idx val="5"/>
          <c:order val="5"/>
          <c:tx>
            <c:strRef>
              <c:f>'OffSet da Hull'!$P$11</c:f>
              <c:strCache>
                <c:ptCount val="1"/>
                <c:pt idx="0">
                  <c:v>R-5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'OffSet da Hull'!$Q$11:$Y$11</c:f>
              <c:numCache>
                <c:formatCode>0.000</c:formatCode>
                <c:ptCount val="9"/>
                <c:pt idx="0">
                  <c:v>6.3944999999999999</c:v>
                </c:pt>
                <c:pt idx="1">
                  <c:v>7.9605000000000006</c:v>
                </c:pt>
                <c:pt idx="2">
                  <c:v>9.1349999999999998</c:v>
                </c:pt>
                <c:pt idx="3">
                  <c:v>10.570500000000001</c:v>
                </c:pt>
                <c:pt idx="4">
                  <c:v>11.67975</c:v>
                </c:pt>
                <c:pt idx="5">
                  <c:v>12.397500000000001</c:v>
                </c:pt>
                <c:pt idx="6">
                  <c:v>12.789</c:v>
                </c:pt>
                <c:pt idx="7">
                  <c:v>12.893795454545455</c:v>
                </c:pt>
                <c:pt idx="8">
                  <c:v>12.98475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0B5-44F1-9F86-475A523F3E22}"/>
            </c:ext>
          </c:extLst>
        </c:ser>
        <c:ser>
          <c:idx val="6"/>
          <c:order val="6"/>
          <c:tx>
            <c:strRef>
              <c:f>'OffSet da Hull'!$P$12</c:f>
              <c:strCache>
                <c:ptCount val="1"/>
                <c:pt idx="0">
                  <c:v>R-6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Hull'!$Q$12:$Y$12</c:f>
              <c:numCache>
                <c:formatCode>0.000</c:formatCode>
                <c:ptCount val="9"/>
                <c:pt idx="0">
                  <c:v>8.4824999999999999</c:v>
                </c:pt>
                <c:pt idx="1">
                  <c:v>9.8527500000000003</c:v>
                </c:pt>
                <c:pt idx="2">
                  <c:v>10.8315</c:v>
                </c:pt>
                <c:pt idx="3">
                  <c:v>12.006000000000002</c:v>
                </c:pt>
                <c:pt idx="4">
                  <c:v>12.528</c:v>
                </c:pt>
                <c:pt idx="5">
                  <c:v>12.919500000000001</c:v>
                </c:pt>
                <c:pt idx="6">
                  <c:v>12.98475</c:v>
                </c:pt>
                <c:pt idx="7">
                  <c:v>13.019681818181818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0B5-44F1-9F86-475A523F3E22}"/>
            </c:ext>
          </c:extLst>
        </c:ser>
        <c:ser>
          <c:idx val="7"/>
          <c:order val="7"/>
          <c:tx>
            <c:strRef>
              <c:f>'OffSet da Hull'!$P$13</c:f>
              <c:strCache>
                <c:ptCount val="1"/>
                <c:pt idx="0">
                  <c:v>R-7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Hull'!$Q$13:$Y$13</c:f>
              <c:numCache>
                <c:formatCode>0.000</c:formatCode>
                <c:ptCount val="9"/>
                <c:pt idx="0">
                  <c:v>10.440000000000001</c:v>
                </c:pt>
                <c:pt idx="1">
                  <c:v>11.3535</c:v>
                </c:pt>
                <c:pt idx="2">
                  <c:v>12.006000000000002</c:v>
                </c:pt>
                <c:pt idx="3">
                  <c:v>12.789</c:v>
                </c:pt>
                <c:pt idx="4">
                  <c:v>12.919500000000001</c:v>
                </c:pt>
                <c:pt idx="5">
                  <c:v>12.98475</c:v>
                </c:pt>
                <c:pt idx="6">
                  <c:v>13.05</c:v>
                </c:pt>
                <c:pt idx="7">
                  <c:v>13.05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0B5-44F1-9F86-475A523F3E22}"/>
            </c:ext>
          </c:extLst>
        </c:ser>
        <c:ser>
          <c:idx val="8"/>
          <c:order val="8"/>
          <c:tx>
            <c:strRef>
              <c:f>'OffSet da Hull'!$P$14</c:f>
              <c:strCache>
                <c:ptCount val="1"/>
                <c:pt idx="0">
                  <c:v>R-8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Hull'!$Q$14:$Y$14</c:f>
              <c:numCache>
                <c:formatCode>0.000</c:formatCode>
                <c:ptCount val="9"/>
                <c:pt idx="0">
                  <c:v>11.940750000000001</c:v>
                </c:pt>
                <c:pt idx="1">
                  <c:v>12.397500000000001</c:v>
                </c:pt>
                <c:pt idx="2">
                  <c:v>12.723750000000001</c:v>
                </c:pt>
                <c:pt idx="3">
                  <c:v>12.98475</c:v>
                </c:pt>
                <c:pt idx="4">
                  <c:v>13.05</c:v>
                </c:pt>
                <c:pt idx="5">
                  <c:v>13.05</c:v>
                </c:pt>
                <c:pt idx="6">
                  <c:v>13.05</c:v>
                </c:pt>
                <c:pt idx="7">
                  <c:v>13.05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0B5-44F1-9F86-475A523F3E22}"/>
            </c:ext>
          </c:extLst>
        </c:ser>
        <c:ser>
          <c:idx val="9"/>
          <c:order val="9"/>
          <c:tx>
            <c:strRef>
              <c:f>'OffSet da Hull'!$P$15</c:f>
              <c:strCache>
                <c:ptCount val="1"/>
                <c:pt idx="0">
                  <c:v>R-9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Hull'!$Q$15:$Y$15</c:f>
              <c:numCache>
                <c:formatCode>0.000</c:formatCode>
                <c:ptCount val="9"/>
                <c:pt idx="0">
                  <c:v>12.98475</c:v>
                </c:pt>
                <c:pt idx="1">
                  <c:v>12.98475</c:v>
                </c:pt>
                <c:pt idx="2">
                  <c:v>12.98475</c:v>
                </c:pt>
                <c:pt idx="3">
                  <c:v>13.05</c:v>
                </c:pt>
                <c:pt idx="4">
                  <c:v>13.05</c:v>
                </c:pt>
                <c:pt idx="5">
                  <c:v>13.05</c:v>
                </c:pt>
                <c:pt idx="6">
                  <c:v>13.05</c:v>
                </c:pt>
                <c:pt idx="7">
                  <c:v>13.05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0B5-44F1-9F86-475A523F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651584"/>
        <c:axId val="926652064"/>
      </c:scatterChart>
      <c:valAx>
        <c:axId val="92665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652064"/>
        <c:crosses val="autoZero"/>
        <c:crossBetween val="midCat"/>
      </c:valAx>
      <c:valAx>
        <c:axId val="9266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65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Entrance</a:t>
            </a:r>
            <a:r>
              <a:rPr lang="pt-PT" baseline="0"/>
              <a:t> Offset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'OffSet da Hull'!$P$16</c:f>
              <c:strCache>
                <c:ptCount val="1"/>
                <c:pt idx="0">
                  <c:v>E-9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'OffSet da Hull'!$Q$16:$Y$16</c:f>
              <c:numCache>
                <c:formatCode>0.000</c:formatCode>
                <c:ptCount val="9"/>
                <c:pt idx="0">
                  <c:v>12.98475</c:v>
                </c:pt>
                <c:pt idx="1">
                  <c:v>13.05</c:v>
                </c:pt>
                <c:pt idx="2">
                  <c:v>13.05</c:v>
                </c:pt>
                <c:pt idx="3">
                  <c:v>13.05</c:v>
                </c:pt>
                <c:pt idx="4">
                  <c:v>13.05</c:v>
                </c:pt>
                <c:pt idx="5">
                  <c:v>13.05</c:v>
                </c:pt>
                <c:pt idx="6">
                  <c:v>13.05</c:v>
                </c:pt>
                <c:pt idx="7">
                  <c:v>13.05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4A-4577-8593-8852F8FBCEA5}"/>
            </c:ext>
          </c:extLst>
        </c:ser>
        <c:ser>
          <c:idx val="1"/>
          <c:order val="1"/>
          <c:tx>
            <c:strRef>
              <c:f>'OffSet da Hull'!$P$17</c:f>
              <c:strCache>
                <c:ptCount val="1"/>
                <c:pt idx="0">
                  <c:v>E-8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'OffSet da Hull'!$Q$17:$Y$17</c:f>
              <c:numCache>
                <c:formatCode>0.000</c:formatCode>
                <c:ptCount val="9"/>
                <c:pt idx="0">
                  <c:v>12.6585</c:v>
                </c:pt>
                <c:pt idx="1">
                  <c:v>12.723750000000001</c:v>
                </c:pt>
                <c:pt idx="2">
                  <c:v>12.85425</c:v>
                </c:pt>
                <c:pt idx="3">
                  <c:v>12.98475</c:v>
                </c:pt>
                <c:pt idx="4">
                  <c:v>13.05</c:v>
                </c:pt>
                <c:pt idx="5">
                  <c:v>13.05</c:v>
                </c:pt>
                <c:pt idx="6">
                  <c:v>13.05</c:v>
                </c:pt>
                <c:pt idx="7">
                  <c:v>13.05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4A-4577-8593-8852F8FBCEA5}"/>
            </c:ext>
          </c:extLst>
        </c:ser>
        <c:ser>
          <c:idx val="2"/>
          <c:order val="2"/>
          <c:tx>
            <c:strRef>
              <c:f>'OffSet da Hull'!$P$18</c:f>
              <c:strCache>
                <c:ptCount val="1"/>
                <c:pt idx="0">
                  <c:v>E-7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'OffSet da Hull'!$Q$18:$Y$18</c:f>
              <c:numCache>
                <c:formatCode>0.000</c:formatCode>
                <c:ptCount val="9"/>
                <c:pt idx="0">
                  <c:v>11.810250000000002</c:v>
                </c:pt>
                <c:pt idx="1">
                  <c:v>12.136500000000002</c:v>
                </c:pt>
                <c:pt idx="2">
                  <c:v>12.528</c:v>
                </c:pt>
                <c:pt idx="3">
                  <c:v>12.85425</c:v>
                </c:pt>
                <c:pt idx="4">
                  <c:v>12.919500000000001</c:v>
                </c:pt>
                <c:pt idx="5">
                  <c:v>12.919500000000001</c:v>
                </c:pt>
                <c:pt idx="6">
                  <c:v>12.98475</c:v>
                </c:pt>
                <c:pt idx="7">
                  <c:v>13.019681818181818</c:v>
                </c:pt>
                <c:pt idx="8">
                  <c:v>13.05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4A-4577-8593-8852F8FBCEA5}"/>
            </c:ext>
          </c:extLst>
        </c:ser>
        <c:ser>
          <c:idx val="3"/>
          <c:order val="3"/>
          <c:tx>
            <c:strRef>
              <c:f>'OffSet da Hull'!$P$19</c:f>
              <c:strCache>
                <c:ptCount val="1"/>
                <c:pt idx="0">
                  <c:v>E-6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'OffSet da Hull'!$Q$19:$Y$19</c:f>
              <c:numCache>
                <c:formatCode>0.000</c:formatCode>
                <c:ptCount val="9"/>
                <c:pt idx="0">
                  <c:v>10.374750000000001</c:v>
                </c:pt>
                <c:pt idx="1">
                  <c:v>11.28825</c:v>
                </c:pt>
                <c:pt idx="2">
                  <c:v>12.006000000000002</c:v>
                </c:pt>
                <c:pt idx="3">
                  <c:v>12.397500000000001</c:v>
                </c:pt>
                <c:pt idx="4">
                  <c:v>12.6585</c:v>
                </c:pt>
                <c:pt idx="5">
                  <c:v>12.789</c:v>
                </c:pt>
                <c:pt idx="6">
                  <c:v>12.789</c:v>
                </c:pt>
                <c:pt idx="7">
                  <c:v>12.858863636363637</c:v>
                </c:pt>
                <c:pt idx="8">
                  <c:v>12.919500000000001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4A-4577-8593-8852F8FBCEA5}"/>
            </c:ext>
          </c:extLst>
        </c:ser>
        <c:ser>
          <c:idx val="4"/>
          <c:order val="4"/>
          <c:tx>
            <c:strRef>
              <c:f>'OffSet da Hull'!$P$20</c:f>
              <c:strCache>
                <c:ptCount val="1"/>
                <c:pt idx="0">
                  <c:v>E-5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'OffSet da Hull'!$Q$20:$Y$20</c:f>
              <c:numCache>
                <c:formatCode>0.000</c:formatCode>
                <c:ptCount val="9"/>
                <c:pt idx="0">
                  <c:v>8.4824999999999999</c:v>
                </c:pt>
                <c:pt idx="1">
                  <c:v>9.918000000000001</c:v>
                </c:pt>
                <c:pt idx="2">
                  <c:v>10.962</c:v>
                </c:pt>
                <c:pt idx="3">
                  <c:v>11.67975</c:v>
                </c:pt>
                <c:pt idx="4">
                  <c:v>12.006000000000002</c:v>
                </c:pt>
                <c:pt idx="5">
                  <c:v>12.201750000000001</c:v>
                </c:pt>
                <c:pt idx="6">
                  <c:v>12.33225</c:v>
                </c:pt>
                <c:pt idx="7">
                  <c:v>12.437045454545455</c:v>
                </c:pt>
                <c:pt idx="8">
                  <c:v>12.528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4A-4577-8593-8852F8FBCEA5}"/>
            </c:ext>
          </c:extLst>
        </c:ser>
        <c:ser>
          <c:idx val="5"/>
          <c:order val="5"/>
          <c:tx>
            <c:strRef>
              <c:f>'OffSet da Hull'!$P$21</c:f>
              <c:strCache>
                <c:ptCount val="1"/>
                <c:pt idx="0">
                  <c:v>E-4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'OffSet da Hull'!$Q$21:$Y$21</c:f>
              <c:numCache>
                <c:formatCode>0.000</c:formatCode>
                <c:ptCount val="9"/>
                <c:pt idx="0">
                  <c:v>6.1987500000000004</c:v>
                </c:pt>
                <c:pt idx="1">
                  <c:v>7.7647500000000003</c:v>
                </c:pt>
                <c:pt idx="2">
                  <c:v>9.5917500000000011</c:v>
                </c:pt>
                <c:pt idx="3">
                  <c:v>10.440000000000001</c:v>
                </c:pt>
                <c:pt idx="4">
                  <c:v>10.8315</c:v>
                </c:pt>
                <c:pt idx="5">
                  <c:v>11.15775</c:v>
                </c:pt>
                <c:pt idx="6">
                  <c:v>11.418750000000001</c:v>
                </c:pt>
                <c:pt idx="7">
                  <c:v>11.628340909090911</c:v>
                </c:pt>
                <c:pt idx="8">
                  <c:v>11.810250000000002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4A-4577-8593-8852F8FBCEA5}"/>
            </c:ext>
          </c:extLst>
        </c:ser>
        <c:ser>
          <c:idx val="6"/>
          <c:order val="6"/>
          <c:tx>
            <c:strRef>
              <c:f>'OffSet da Hull'!$P$22</c:f>
              <c:strCache>
                <c:ptCount val="1"/>
                <c:pt idx="0">
                  <c:v>E-3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Hull'!$Q$22:$Y$22</c:f>
              <c:numCache>
                <c:formatCode>0.000</c:formatCode>
                <c:ptCount val="9"/>
                <c:pt idx="0">
                  <c:v>4.1760000000000002</c:v>
                </c:pt>
                <c:pt idx="1">
                  <c:v>6.6555000000000009</c:v>
                </c:pt>
                <c:pt idx="2">
                  <c:v>7.7647500000000003</c:v>
                </c:pt>
                <c:pt idx="3">
                  <c:v>8.6782500000000002</c:v>
                </c:pt>
                <c:pt idx="4">
                  <c:v>9.0697499999999991</c:v>
                </c:pt>
                <c:pt idx="5">
                  <c:v>9.3960000000000008</c:v>
                </c:pt>
                <c:pt idx="6">
                  <c:v>9.7222500000000007</c:v>
                </c:pt>
                <c:pt idx="7">
                  <c:v>10.036636363636365</c:v>
                </c:pt>
                <c:pt idx="8">
                  <c:v>10.309500000000002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4A-4577-8593-8852F8FBCEA5}"/>
            </c:ext>
          </c:extLst>
        </c:ser>
        <c:ser>
          <c:idx val="7"/>
          <c:order val="7"/>
          <c:tx>
            <c:strRef>
              <c:f>'OffSet da Hull'!$P$23</c:f>
              <c:strCache>
                <c:ptCount val="1"/>
                <c:pt idx="0">
                  <c:v>E-2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Hull'!$Q$23:$Y$23</c:f>
              <c:numCache>
                <c:formatCode>0.000</c:formatCode>
                <c:ptCount val="9"/>
                <c:pt idx="0">
                  <c:v>2.2185000000000001</c:v>
                </c:pt>
                <c:pt idx="1">
                  <c:v>4.5022500000000001</c:v>
                </c:pt>
                <c:pt idx="2">
                  <c:v>5.6115000000000004</c:v>
                </c:pt>
                <c:pt idx="3">
                  <c:v>6.32925</c:v>
                </c:pt>
                <c:pt idx="4">
                  <c:v>6.5902500000000002</c:v>
                </c:pt>
                <c:pt idx="5">
                  <c:v>6.7860000000000005</c:v>
                </c:pt>
                <c:pt idx="6">
                  <c:v>7.1775000000000011</c:v>
                </c:pt>
                <c:pt idx="7">
                  <c:v>7.5966818181818185</c:v>
                </c:pt>
                <c:pt idx="8">
                  <c:v>7.9605000000000006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4A-4577-8593-8852F8FBCEA5}"/>
            </c:ext>
          </c:extLst>
        </c:ser>
        <c:ser>
          <c:idx val="8"/>
          <c:order val="8"/>
          <c:tx>
            <c:strRef>
              <c:f>'OffSet da Hull'!$P$24</c:f>
              <c:strCache>
                <c:ptCount val="1"/>
                <c:pt idx="0">
                  <c:v>E-1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Hull'!$Q$24:$Y$24</c:f>
              <c:numCache>
                <c:formatCode>0.000</c:formatCode>
                <c:ptCount val="9"/>
                <c:pt idx="0">
                  <c:v>0.71775</c:v>
                </c:pt>
                <c:pt idx="1">
                  <c:v>2.2185000000000001</c:v>
                </c:pt>
                <c:pt idx="2">
                  <c:v>2.9362500000000002</c:v>
                </c:pt>
                <c:pt idx="3">
                  <c:v>3.2625000000000002</c:v>
                </c:pt>
                <c:pt idx="4">
                  <c:v>3.3930000000000002</c:v>
                </c:pt>
                <c:pt idx="5">
                  <c:v>3.5887500000000006</c:v>
                </c:pt>
                <c:pt idx="6">
                  <c:v>3.9802500000000003</c:v>
                </c:pt>
                <c:pt idx="7">
                  <c:v>4.3994318181818182</c:v>
                </c:pt>
                <c:pt idx="8">
                  <c:v>4.7632500000000002</c:v>
                </c:pt>
              </c:numCache>
            </c:numRef>
          </c:xVal>
          <c:yVal>
            <c:numRef>
              <c:f>'OffSet da Hull'!$Q$5:$Y$5</c:f>
              <c:numCache>
                <c:formatCode>0.000</c:formatCode>
                <c:ptCount val="9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  <c:pt idx="8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64A-4577-8593-8852F8FBCEA5}"/>
            </c:ext>
          </c:extLst>
        </c:ser>
        <c:ser>
          <c:idx val="9"/>
          <c:order val="9"/>
          <c:tx>
            <c:strRef>
              <c:f>'OffSet da Hull'!$P$25</c:f>
              <c:strCache>
                <c:ptCount val="1"/>
                <c:pt idx="0">
                  <c:v>FP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'OffSet da Hull'!$V$25:$Y$25</c:f>
              <c:numCache>
                <c:formatCode>0.000</c:formatCode>
                <c:ptCount val="4"/>
                <c:pt idx="0">
                  <c:v>0</c:v>
                </c:pt>
                <c:pt idx="1">
                  <c:v>0.45675000000000004</c:v>
                </c:pt>
                <c:pt idx="2">
                  <c:v>0.77113636363636329</c:v>
                </c:pt>
                <c:pt idx="3">
                  <c:v>1.044</c:v>
                </c:pt>
              </c:numCache>
            </c:numRef>
          </c:xVal>
          <c:yVal>
            <c:numRef>
              <c:f>'OffSet da Hull'!$V$5:$Y$5</c:f>
              <c:numCache>
                <c:formatCode>0.000</c:formatCode>
                <c:ptCount val="4"/>
                <c:pt idx="0">
                  <c:v>9.9</c:v>
                </c:pt>
                <c:pt idx="1">
                  <c:v>12.375</c:v>
                </c:pt>
                <c:pt idx="2">
                  <c:v>13.7</c:v>
                </c:pt>
                <c:pt idx="3">
                  <c:v>14.850000000000001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64A-4577-8593-8852F8FBC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651584"/>
        <c:axId val="926652064"/>
      </c:scatterChart>
      <c:valAx>
        <c:axId val="92665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652064"/>
        <c:crosses val="autoZero"/>
        <c:crossBetween val="midCat"/>
      </c:valAx>
      <c:valAx>
        <c:axId val="9266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665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Longitudinal</a:t>
            </a:r>
            <a:r>
              <a:rPr lang="pt-PT" baseline="0"/>
              <a:t> Offset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Hull'!$Q$33:$Q$53</c:f>
              <c:numCache>
                <c:formatCode>0.000</c:formatCode>
                <c:ptCount val="21"/>
                <c:pt idx="0">
                  <c:v>0</c:v>
                </c:pt>
                <c:pt idx="1">
                  <c:v>0.3566147173253521</c:v>
                </c:pt>
                <c:pt idx="2">
                  <c:v>1.2944520141849765</c:v>
                </c:pt>
                <c:pt idx="3">
                  <c:v>3.1746471732535202</c:v>
                </c:pt>
                <c:pt idx="4">
                  <c:v>5.6208446173608761</c:v>
                </c:pt>
                <c:pt idx="5">
                  <c:v>7.5359389343135126</c:v>
                </c:pt>
                <c:pt idx="6">
                  <c:v>9.2780378213437693</c:v>
                </c:pt>
                <c:pt idx="7">
                  <c:v>10.411487250081695</c:v>
                </c:pt>
                <c:pt idx="8">
                  <c:v>10.751236949673451</c:v>
                </c:pt>
                <c:pt idx="9">
                  <c:v>10.751236949673451</c:v>
                </c:pt>
                <c:pt idx="10">
                  <c:v>10.751236949673451</c:v>
                </c:pt>
                <c:pt idx="11">
                  <c:v>10.751236949673451</c:v>
                </c:pt>
                <c:pt idx="12">
                  <c:v>10.751236949673451</c:v>
                </c:pt>
                <c:pt idx="13">
                  <c:v>10.612869660762616</c:v>
                </c:pt>
                <c:pt idx="14">
                  <c:v>10.432646682682371</c:v>
                </c:pt>
                <c:pt idx="15">
                  <c:v>9.4383391382598187</c:v>
                </c:pt>
                <c:pt idx="16">
                  <c:v>7.6969025817750305</c:v>
                </c:pt>
                <c:pt idx="17">
                  <c:v>5.5421240608940803</c:v>
                </c:pt>
                <c:pt idx="18">
                  <c:v>3.0998703618671577</c:v>
                </c:pt>
                <c:pt idx="19">
                  <c:v>1.0556086387157551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D1-4301-8B38-3DCF500B5D69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Hull'!$R$33:$R$53</c:f>
              <c:numCache>
                <c:formatCode>0.000</c:formatCode>
                <c:ptCount val="21"/>
                <c:pt idx="0">
                  <c:v>0</c:v>
                </c:pt>
                <c:pt idx="1">
                  <c:v>1.0061010070924883</c:v>
                </c:pt>
                <c:pt idx="2">
                  <c:v>2.7269383039521129</c:v>
                </c:pt>
                <c:pt idx="3">
                  <c:v>4.903018745695304</c:v>
                </c:pt>
                <c:pt idx="4">
                  <c:v>7.2551083275937405</c:v>
                </c:pt>
                <c:pt idx="5">
                  <c:v>9.5009593346862289</c:v>
                </c:pt>
                <c:pt idx="6">
                  <c:v>11.176205923970228</c:v>
                </c:pt>
                <c:pt idx="7">
                  <c:v>12.194280204573793</c:v>
                </c:pt>
                <c:pt idx="8">
                  <c:v>12.417659137585877</c:v>
                </c:pt>
                <c:pt idx="9">
                  <c:v>12.430937525864266</c:v>
                </c:pt>
                <c:pt idx="10">
                  <c:v>12.444215914142655</c:v>
                </c:pt>
                <c:pt idx="11">
                  <c:v>12.457494302421043</c:v>
                </c:pt>
                <c:pt idx="12">
                  <c:v>12.470772690699432</c:v>
                </c:pt>
                <c:pt idx="13">
                  <c:v>12.34108707768182</c:v>
                </c:pt>
                <c:pt idx="14">
                  <c:v>12.057210508976754</c:v>
                </c:pt>
                <c:pt idx="15">
                  <c:v>11.252181483670897</c:v>
                </c:pt>
                <c:pt idx="16">
                  <c:v>9.7037647961077163</c:v>
                </c:pt>
                <c:pt idx="17">
                  <c:v>7.4046648075870767</c:v>
                </c:pt>
                <c:pt idx="18">
                  <c:v>5.4717573980538736</c:v>
                </c:pt>
                <c:pt idx="19">
                  <c:v>2.7326327110891926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1-4301-8B38-3DCF500B5D69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Hull'!$S$33:$S$53</c:f>
              <c:numCache>
                <c:formatCode>0.000</c:formatCode>
                <c:ptCount val="21"/>
                <c:pt idx="0">
                  <c:v>0</c:v>
                </c:pt>
                <c:pt idx="1">
                  <c:v>1.3308441519760563</c:v>
                </c:pt>
                <c:pt idx="2">
                  <c:v>3.4644291637968698</c:v>
                </c:pt>
                <c:pt idx="3">
                  <c:v>5.9121334630206563</c:v>
                </c:pt>
                <c:pt idx="4">
                  <c:v>8.4068537575161191</c:v>
                </c:pt>
                <c:pt idx="5">
                  <c:v>10.516101472477308</c:v>
                </c:pt>
                <c:pt idx="6">
                  <c:v>11.978876607904226</c:v>
                </c:pt>
                <c:pt idx="7">
                  <c:v>12.760218009456652</c:v>
                </c:pt>
                <c:pt idx="8">
                  <c:v>12.988204770993223</c:v>
                </c:pt>
                <c:pt idx="9">
                  <c:v>13.001483159271611</c:v>
                </c:pt>
                <c:pt idx="10">
                  <c:v>13.01476154755</c:v>
                </c:pt>
                <c:pt idx="11">
                  <c:v>13.028039935828389</c:v>
                </c:pt>
                <c:pt idx="12">
                  <c:v>13.041318324106777</c:v>
                </c:pt>
                <c:pt idx="13">
                  <c:v>12.966979626653499</c:v>
                </c:pt>
                <c:pt idx="14">
                  <c:v>12.642435180933569</c:v>
                </c:pt>
                <c:pt idx="15">
                  <c:v>12.071580241244762</c:v>
                </c:pt>
                <c:pt idx="16">
                  <c:v>10.825668506614001</c:v>
                </c:pt>
                <c:pt idx="17">
                  <c:v>8.998668506614008</c:v>
                </c:pt>
                <c:pt idx="18">
                  <c:v>6.5810073980538739</c:v>
                </c:pt>
                <c:pt idx="19">
                  <c:v>3.5385197472759113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D1-4301-8B38-3DCF500B5D69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Hull'!$T$33:$T$53</c:f>
              <c:numCache>
                <c:formatCode>0.000</c:formatCode>
                <c:ptCount val="21"/>
                <c:pt idx="0">
                  <c:v>0</c:v>
                </c:pt>
                <c:pt idx="1">
                  <c:v>1.5569588693014085</c:v>
                </c:pt>
                <c:pt idx="2">
                  <c:v>4.3734085984475737</c:v>
                </c:pt>
                <c:pt idx="3">
                  <c:v>7.3127481803460084</c:v>
                </c:pt>
                <c:pt idx="4">
                  <c:v>9.8651083275937417</c:v>
                </c:pt>
                <c:pt idx="5">
                  <c:v>11.739124322865417</c:v>
                </c:pt>
                <c:pt idx="6">
                  <c:v>12.770917738602817</c:v>
                </c:pt>
                <c:pt idx="7">
                  <c:v>12.993867002364162</c:v>
                </c:pt>
                <c:pt idx="8">
                  <c:v>13.05</c:v>
                </c:pt>
                <c:pt idx="9">
                  <c:v>13.05</c:v>
                </c:pt>
                <c:pt idx="10">
                  <c:v>13.05</c:v>
                </c:pt>
                <c:pt idx="11">
                  <c:v>13.05</c:v>
                </c:pt>
                <c:pt idx="12">
                  <c:v>13.05</c:v>
                </c:pt>
                <c:pt idx="13">
                  <c:v>13.022326542217833</c:v>
                </c:pt>
                <c:pt idx="14">
                  <c:v>12.900024072373428</c:v>
                </c:pt>
                <c:pt idx="15">
                  <c:v>12.454882711089166</c:v>
                </c:pt>
                <c:pt idx="16">
                  <c:v>11.556402458365048</c:v>
                </c:pt>
                <c:pt idx="17">
                  <c:v>9.8680999885206511</c:v>
                </c:pt>
                <c:pt idx="18">
                  <c:v>7.3868944342405891</c:v>
                </c:pt>
                <c:pt idx="19">
                  <c:v>3.9529067834626299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8D1-4301-8B38-3DCF500B5D69}"/>
            </c:ext>
          </c:extLst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Hull'!$U$33:$U$53</c:f>
              <c:numCache>
                <c:formatCode>0.000</c:formatCode>
                <c:ptCount val="21"/>
                <c:pt idx="0">
                  <c:v>0</c:v>
                </c:pt>
                <c:pt idx="1">
                  <c:v>2.2504474441073552</c:v>
                </c:pt>
                <c:pt idx="2">
                  <c:v>5.7406448882147103</c:v>
                </c:pt>
                <c:pt idx="3">
                  <c:v>8.9121266079042254</c:v>
                </c:pt>
                <c:pt idx="4">
                  <c:v>11.13364031813709</c:v>
                </c:pt>
                <c:pt idx="5">
                  <c:v>12.370300736238654</c:v>
                </c:pt>
                <c:pt idx="6">
                  <c:v>12.91045886930141</c:v>
                </c:pt>
                <c:pt idx="7">
                  <c:v>13.05</c:v>
                </c:pt>
                <c:pt idx="8">
                  <c:v>13.05</c:v>
                </c:pt>
                <c:pt idx="9">
                  <c:v>13.05</c:v>
                </c:pt>
                <c:pt idx="10">
                  <c:v>13.05</c:v>
                </c:pt>
                <c:pt idx="11">
                  <c:v>13.05</c:v>
                </c:pt>
                <c:pt idx="12">
                  <c:v>13.05</c:v>
                </c:pt>
                <c:pt idx="13">
                  <c:v>13.05</c:v>
                </c:pt>
                <c:pt idx="14">
                  <c:v>12.965274072373429</c:v>
                </c:pt>
                <c:pt idx="15">
                  <c:v>12.69129012062238</c:v>
                </c:pt>
                <c:pt idx="16">
                  <c:v>11.889144434240574</c:v>
                </c:pt>
                <c:pt idx="17">
                  <c:v>10.25959998852065</c:v>
                </c:pt>
                <c:pt idx="18">
                  <c:v>7.706652458365066</c:v>
                </c:pt>
                <c:pt idx="19">
                  <c:v>4.1127857955248697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8D1-4301-8B38-3DCF500B5D69}"/>
            </c:ext>
          </c:extLst>
        </c:ser>
        <c:ser>
          <c:idx val="5"/>
          <c:order val="5"/>
          <c:tx>
            <c:v>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Hull'!$V$33:$V$53</c:f>
              <c:numCache>
                <c:formatCode>0.000</c:formatCode>
                <c:ptCount val="21"/>
                <c:pt idx="0">
                  <c:v>1.1092500000000001</c:v>
                </c:pt>
                <c:pt idx="1">
                  <c:v>4.8164451590685449</c:v>
                </c:pt>
                <c:pt idx="2">
                  <c:v>8.2034177386028162</c:v>
                </c:pt>
                <c:pt idx="3">
                  <c:v>10.552417738602816</c:v>
                </c:pt>
                <c:pt idx="4">
                  <c:v>12.03342687875806</c:v>
                </c:pt>
                <c:pt idx="5">
                  <c:v>12.822454299223788</c:v>
                </c:pt>
                <c:pt idx="6">
                  <c:v>12.983243144883568</c:v>
                </c:pt>
                <c:pt idx="7">
                  <c:v>13.05</c:v>
                </c:pt>
                <c:pt idx="8">
                  <c:v>13.05</c:v>
                </c:pt>
                <c:pt idx="9">
                  <c:v>13.05</c:v>
                </c:pt>
                <c:pt idx="10">
                  <c:v>13.05</c:v>
                </c:pt>
                <c:pt idx="11">
                  <c:v>13.05</c:v>
                </c:pt>
                <c:pt idx="12">
                  <c:v>13.05</c:v>
                </c:pt>
                <c:pt idx="13">
                  <c:v>13.05</c:v>
                </c:pt>
                <c:pt idx="14">
                  <c:v>12.965274072373429</c:v>
                </c:pt>
                <c:pt idx="15">
                  <c:v>12.80539506031119</c:v>
                </c:pt>
                <c:pt idx="16">
                  <c:v>12.097878385991621</c:v>
                </c:pt>
                <c:pt idx="17">
                  <c:v>10.58584998852065</c:v>
                </c:pt>
                <c:pt idx="18">
                  <c:v>7.9611604824895439</c:v>
                </c:pt>
                <c:pt idx="19">
                  <c:v>4.30853579552487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8D1-4301-8B38-3DCF500B5D69}"/>
            </c:ext>
          </c:extLst>
        </c:ser>
        <c:ser>
          <c:idx val="6"/>
          <c:order val="6"/>
          <c:tx>
            <c:v>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Hull'!$W$33:$W$53</c:f>
              <c:numCache>
                <c:formatCode>0.000</c:formatCode>
                <c:ptCount val="21"/>
                <c:pt idx="0">
                  <c:v>3.5235000000000003</c:v>
                </c:pt>
                <c:pt idx="1">
                  <c:v>7.5053327267820045</c:v>
                </c:pt>
                <c:pt idx="2">
                  <c:v>10.078940588990923</c:v>
                </c:pt>
                <c:pt idx="3">
                  <c:v>11.764816731510329</c:v>
                </c:pt>
                <c:pt idx="4">
                  <c:v>12.629718009456651</c:v>
                </c:pt>
                <c:pt idx="5">
                  <c:v>12.948357862208921</c:v>
                </c:pt>
                <c:pt idx="6">
                  <c:v>13.048493144883569</c:v>
                </c:pt>
                <c:pt idx="7">
                  <c:v>13.05</c:v>
                </c:pt>
                <c:pt idx="8">
                  <c:v>13.05</c:v>
                </c:pt>
                <c:pt idx="9">
                  <c:v>13.05</c:v>
                </c:pt>
                <c:pt idx="10">
                  <c:v>13.05</c:v>
                </c:pt>
                <c:pt idx="11">
                  <c:v>13.05</c:v>
                </c:pt>
                <c:pt idx="12">
                  <c:v>13.05</c:v>
                </c:pt>
                <c:pt idx="13">
                  <c:v>13.05</c:v>
                </c:pt>
                <c:pt idx="14">
                  <c:v>13.007637036186715</c:v>
                </c:pt>
                <c:pt idx="15">
                  <c:v>12.813592590466785</c:v>
                </c:pt>
                <c:pt idx="16">
                  <c:v>12.241362337742666</c:v>
                </c:pt>
                <c:pt idx="17">
                  <c:v>10.868031470427294</c:v>
                </c:pt>
                <c:pt idx="18">
                  <c:v>8.3232814704273057</c:v>
                </c:pt>
                <c:pt idx="19">
                  <c:v>4.7000357955248706</c:v>
                </c:pt>
                <c:pt idx="20">
                  <c:v>0.45675000000000004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8D1-4301-8B38-3DCF500B5D69}"/>
            </c:ext>
          </c:extLst>
        </c:ser>
        <c:ser>
          <c:idx val="7"/>
          <c:order val="7"/>
          <c:tx>
            <c:v>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'OffSet da Hull'!$P$33:$P$53</c:f>
              <c:numCache>
                <c:formatCode>0.000</c:formatCode>
                <c:ptCount val="21"/>
                <c:pt idx="0">
                  <c:v>0</c:v>
                </c:pt>
                <c:pt idx="1">
                  <c:v>9.35</c:v>
                </c:pt>
                <c:pt idx="2">
                  <c:v>18.7</c:v>
                </c:pt>
                <c:pt idx="3">
                  <c:v>28.049999999999997</c:v>
                </c:pt>
                <c:pt idx="4">
                  <c:v>37.4</c:v>
                </c:pt>
                <c:pt idx="5">
                  <c:v>46.75</c:v>
                </c:pt>
                <c:pt idx="6">
                  <c:v>56.1</c:v>
                </c:pt>
                <c:pt idx="7">
                  <c:v>65.45</c:v>
                </c:pt>
                <c:pt idx="8">
                  <c:v>74.8</c:v>
                </c:pt>
                <c:pt idx="9">
                  <c:v>84.149999999999991</c:v>
                </c:pt>
                <c:pt idx="10">
                  <c:v>93.499999999999986</c:v>
                </c:pt>
                <c:pt idx="11">
                  <c:v>102.84999999999998</c:v>
                </c:pt>
                <c:pt idx="12">
                  <c:v>112.19999999999997</c:v>
                </c:pt>
                <c:pt idx="13">
                  <c:v>121.54999999999997</c:v>
                </c:pt>
                <c:pt idx="14">
                  <c:v>130.89999999999998</c:v>
                </c:pt>
                <c:pt idx="15">
                  <c:v>140.24999999999997</c:v>
                </c:pt>
                <c:pt idx="16">
                  <c:v>149.59999999999997</c:v>
                </c:pt>
                <c:pt idx="17">
                  <c:v>158.94999999999996</c:v>
                </c:pt>
                <c:pt idx="18">
                  <c:v>168.29999999999995</c:v>
                </c:pt>
                <c:pt idx="19">
                  <c:v>177.64999999999995</c:v>
                </c:pt>
                <c:pt idx="20">
                  <c:v>186.99999999999994</c:v>
                </c:pt>
              </c:numCache>
            </c:numRef>
          </c:xVal>
          <c:yVal>
            <c:numRef>
              <c:f>'OffSet da Hull'!$X$33:$X$53</c:f>
              <c:numCache>
                <c:formatCode>0.000</c:formatCode>
                <c:ptCount val="21"/>
                <c:pt idx="0">
                  <c:v>4.6063863636363624</c:v>
                </c:pt>
                <c:pt idx="1">
                  <c:v>8.4785428164254295</c:v>
                </c:pt>
                <c:pt idx="2">
                  <c:v>10.756440274409668</c:v>
                </c:pt>
                <c:pt idx="3">
                  <c:v>12.151486832151871</c:v>
                </c:pt>
                <c:pt idx="4">
                  <c:v>12.795422161684627</c:v>
                </c:pt>
                <c:pt idx="5">
                  <c:v>12.99627812014109</c:v>
                </c:pt>
                <c:pt idx="6">
                  <c:v>13.049299845097416</c:v>
                </c:pt>
                <c:pt idx="7">
                  <c:v>13.05</c:v>
                </c:pt>
                <c:pt idx="8">
                  <c:v>13.05</c:v>
                </c:pt>
                <c:pt idx="9">
                  <c:v>13.05</c:v>
                </c:pt>
                <c:pt idx="10">
                  <c:v>13.05</c:v>
                </c:pt>
                <c:pt idx="11">
                  <c:v>13.05</c:v>
                </c:pt>
                <c:pt idx="12">
                  <c:v>13.05</c:v>
                </c:pt>
                <c:pt idx="13">
                  <c:v>13.05</c:v>
                </c:pt>
                <c:pt idx="14">
                  <c:v>13.03031619863221</c:v>
                </c:pt>
                <c:pt idx="15">
                  <c:v>12.879067650080456</c:v>
                </c:pt>
                <c:pt idx="16">
                  <c:v>12.356584298997296</c:v>
                </c:pt>
                <c:pt idx="17">
                  <c:v>11.111641123186446</c:v>
                </c:pt>
                <c:pt idx="18">
                  <c:v>8.6952788146909832</c:v>
                </c:pt>
                <c:pt idx="19">
                  <c:v>5.119217613706688</c:v>
                </c:pt>
                <c:pt idx="20">
                  <c:v>0.77113636363636329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8D1-4301-8B38-3DCF500B5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000800"/>
        <c:axId val="637983520"/>
      </c:scatterChart>
      <c:valAx>
        <c:axId val="63800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983520"/>
        <c:crosses val="autoZero"/>
        <c:crossBetween val="midCat"/>
      </c:valAx>
      <c:valAx>
        <c:axId val="6379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800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Bojean Curves 11-FP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244888335113376"/>
          <c:y val="7.7967620196850426E-2"/>
          <c:w val="0.7716184503311169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'Curvas de Bojean'!$E$46</c:f>
              <c:strCache>
                <c:ptCount val="1"/>
                <c:pt idx="0">
                  <c:v>11.000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Bojean'!$G$46:$N$46</c:f>
              <c:numCache>
                <c:formatCode>0.000</c:formatCode>
                <c:ptCount val="8"/>
                <c:pt idx="0">
                  <c:v>0</c:v>
                </c:pt>
                <c:pt idx="1">
                  <c:v>4.8625340772675656E-2</c:v>
                </c:pt>
                <c:pt idx="2">
                  <c:v>0.17321493905122787</c:v>
                </c:pt>
                <c:pt idx="3">
                  <c:v>0.35533800368430829</c:v>
                </c:pt>
                <c:pt idx="4">
                  <c:v>0.53761443238141793</c:v>
                </c:pt>
                <c:pt idx="5">
                  <c:v>0.71989086107852751</c:v>
                </c:pt>
                <c:pt idx="6">
                  <c:v>0.90216728977563698</c:v>
                </c:pt>
                <c:pt idx="7">
                  <c:v>0.99974962029025116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1-4626-B8D9-59A1533AD655}"/>
            </c:ext>
          </c:extLst>
        </c:ser>
        <c:ser>
          <c:idx val="1"/>
          <c:order val="1"/>
          <c:tx>
            <c:strRef>
              <c:f>'Curvas de Bojean'!$E$47</c:f>
              <c:strCache>
                <c:ptCount val="1"/>
                <c:pt idx="0">
                  <c:v>12.000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Bojean'!$G$47:$N$47</c:f>
              <c:numCache>
                <c:formatCode>0.000</c:formatCode>
                <c:ptCount val="8"/>
                <c:pt idx="0">
                  <c:v>0</c:v>
                </c:pt>
                <c:pt idx="1">
                  <c:v>4.8653160740425506E-2</c:v>
                </c:pt>
                <c:pt idx="2">
                  <c:v>0.17337258553514373</c:v>
                </c:pt>
                <c:pt idx="3">
                  <c:v>0.35558838339405707</c:v>
                </c:pt>
                <c:pt idx="4">
                  <c:v>0.53786481209116666</c:v>
                </c:pt>
                <c:pt idx="5">
                  <c:v>0.72014124078827624</c:v>
                </c:pt>
                <c:pt idx="6">
                  <c:v>0.90241766948538582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F1-4626-B8D9-59A1533AD655}"/>
            </c:ext>
          </c:extLst>
        </c:ser>
        <c:ser>
          <c:idx val="2"/>
          <c:order val="2"/>
          <c:tx>
            <c:strRef>
              <c:f>'Curvas de Bojean'!$E$48</c:f>
              <c:strCache>
                <c:ptCount val="1"/>
                <c:pt idx="0">
                  <c:v>13.000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Bojean'!$G$48:$N$48</c:f>
              <c:numCache>
                <c:formatCode>0.000</c:formatCode>
                <c:ptCount val="8"/>
                <c:pt idx="0">
                  <c:v>0</c:v>
                </c:pt>
                <c:pt idx="1">
                  <c:v>4.809155469829432E-2</c:v>
                </c:pt>
                <c:pt idx="2">
                  <c:v>0.17181357811845252</c:v>
                </c:pt>
                <c:pt idx="3">
                  <c:v>0.35331694642410871</c:v>
                </c:pt>
                <c:pt idx="4">
                  <c:v>0.53540011002335497</c:v>
                </c:pt>
                <c:pt idx="5">
                  <c:v>0.71767653872046455</c:v>
                </c:pt>
                <c:pt idx="6">
                  <c:v>0.89995296741757413</c:v>
                </c:pt>
                <c:pt idx="7">
                  <c:v>0.99753529793218831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F1-4626-B8D9-59A1533AD655}"/>
            </c:ext>
          </c:extLst>
        </c:ser>
        <c:ser>
          <c:idx val="3"/>
          <c:order val="3"/>
          <c:tx>
            <c:strRef>
              <c:f>'Curvas de Bojean'!$E$49</c:f>
              <c:strCache>
                <c:ptCount val="1"/>
                <c:pt idx="0">
                  <c:v>14.000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Bojean'!$G$49:$N$49</c:f>
              <c:numCache>
                <c:formatCode>0.000</c:formatCode>
                <c:ptCount val="8"/>
                <c:pt idx="0">
                  <c:v>0</c:v>
                </c:pt>
                <c:pt idx="1">
                  <c:v>4.7119205181650949E-2</c:v>
                </c:pt>
                <c:pt idx="2">
                  <c:v>0.1678668773850443</c:v>
                </c:pt>
                <c:pt idx="3">
                  <c:v>0.34624956906451709</c:v>
                </c:pt>
                <c:pt idx="4">
                  <c:v>0.52688689370093211</c:v>
                </c:pt>
                <c:pt idx="5">
                  <c:v>0.70797990940908984</c:v>
                </c:pt>
                <c:pt idx="6">
                  <c:v>0.88936877836448558</c:v>
                </c:pt>
                <c:pt idx="7">
                  <c:v>0.98671912926426208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F1-4626-B8D9-59A1533AD655}"/>
            </c:ext>
          </c:extLst>
        </c:ser>
        <c:ser>
          <c:idx val="4"/>
          <c:order val="4"/>
          <c:tx>
            <c:strRef>
              <c:f>'Curvas de Bojean'!$E$50</c:f>
              <c:strCache>
                <c:ptCount val="1"/>
                <c:pt idx="0">
                  <c:v>15.000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Bojean'!$G$50:$N$50</c:f>
              <c:numCache>
                <c:formatCode>0.000</c:formatCode>
                <c:ptCount val="8"/>
                <c:pt idx="0">
                  <c:v>0</c:v>
                </c:pt>
                <c:pt idx="1">
                  <c:v>4.3349358699418736E-2</c:v>
                </c:pt>
                <c:pt idx="2">
                  <c:v>0.15737082972240624</c:v>
                </c:pt>
                <c:pt idx="3">
                  <c:v>0.32865803568115703</c:v>
                </c:pt>
                <c:pt idx="4">
                  <c:v>0.50427315365681469</c:v>
                </c:pt>
                <c:pt idx="5">
                  <c:v>0.68233616968727784</c:v>
                </c:pt>
                <c:pt idx="6">
                  <c:v>0.86125331818609629</c:v>
                </c:pt>
                <c:pt idx="7">
                  <c:v>0.95731269226244764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F1-4626-B8D9-59A1533AD655}"/>
            </c:ext>
          </c:extLst>
        </c:ser>
        <c:ser>
          <c:idx val="5"/>
          <c:order val="5"/>
          <c:tx>
            <c:strRef>
              <c:f>'Curvas de Bojean'!$E$51</c:f>
              <c:strCache>
                <c:ptCount val="1"/>
                <c:pt idx="0">
                  <c:v>16.000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Bojean'!$G$51:$N$51</c:f>
              <c:numCache>
                <c:formatCode>0.000</c:formatCode>
                <c:ptCount val="8"/>
                <c:pt idx="0">
                  <c:v>0</c:v>
                </c:pt>
                <c:pt idx="1">
                  <c:v>3.6456683983755928E-2</c:v>
                </c:pt>
                <c:pt idx="2">
                  <c:v>0.13681768972769981</c:v>
                </c:pt>
                <c:pt idx="3">
                  <c:v>0.29312895265266725</c:v>
                </c:pt>
                <c:pt idx="4">
                  <c:v>0.45686728814825234</c:v>
                </c:pt>
                <c:pt idx="5">
                  <c:v>0.62438716764051261</c:v>
                </c:pt>
                <c:pt idx="6">
                  <c:v>0.79436685638846438</c:v>
                </c:pt>
                <c:pt idx="7">
                  <c:v>0.88633332990138403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F1-4626-B8D9-59A1533AD655}"/>
            </c:ext>
          </c:extLst>
        </c:ser>
        <c:ser>
          <c:idx val="6"/>
          <c:order val="6"/>
          <c:tx>
            <c:strRef>
              <c:f>'Curvas de Bojean'!$E$52</c:f>
              <c:strCache>
                <c:ptCount val="1"/>
                <c:pt idx="0">
                  <c:v>17.000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Bojean'!$G$52:$N$52</c:f>
              <c:numCache>
                <c:formatCode>0.000</c:formatCode>
                <c:ptCount val="8"/>
                <c:pt idx="0">
                  <c:v>0</c:v>
                </c:pt>
                <c:pt idx="1">
                  <c:v>2.7125223425772851E-2</c:v>
                </c:pt>
                <c:pt idx="2">
                  <c:v>0.10731521234027964</c:v>
                </c:pt>
                <c:pt idx="3">
                  <c:v>0.23907640706626759</c:v>
                </c:pt>
                <c:pt idx="4">
                  <c:v>0.37964365877898731</c:v>
                </c:pt>
                <c:pt idx="5">
                  <c:v>0.52522351228087749</c:v>
                </c:pt>
                <c:pt idx="6">
                  <c:v>0.67505251205207162</c:v>
                </c:pt>
                <c:pt idx="7">
                  <c:v>0.75722981763188091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F1-4626-B8D9-59A1533AD655}"/>
            </c:ext>
          </c:extLst>
        </c:ser>
        <c:ser>
          <c:idx val="7"/>
          <c:order val="7"/>
          <c:tx>
            <c:strRef>
              <c:f>'Curvas de Bojean'!$E$53</c:f>
              <c:strCache>
                <c:ptCount val="1"/>
                <c:pt idx="0">
                  <c:v>18.000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Bojean'!$G$53:$N$53</c:f>
              <c:numCache>
                <c:formatCode>0.000</c:formatCode>
                <c:ptCount val="8"/>
                <c:pt idx="0">
                  <c:v>0</c:v>
                </c:pt>
                <c:pt idx="1">
                  <c:v>1.7958686163211626E-2</c:v>
                </c:pt>
                <c:pt idx="2">
                  <c:v>7.6880312449515709E-2</c:v>
                </c:pt>
                <c:pt idx="3">
                  <c:v>0.17442894319213825</c:v>
                </c:pt>
                <c:pt idx="4">
                  <c:v>0.27983882150464845</c:v>
                </c:pt>
                <c:pt idx="5">
                  <c:v>0.38925924251435479</c:v>
                </c:pt>
                <c:pt idx="6">
                  <c:v>0.50298605946849528</c:v>
                </c:pt>
                <c:pt idx="7">
                  <c:v>0.56661482477980951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F1-4626-B8D9-59A1533AD655}"/>
            </c:ext>
          </c:extLst>
        </c:ser>
        <c:ser>
          <c:idx val="8"/>
          <c:order val="8"/>
          <c:tx>
            <c:strRef>
              <c:f>'Curvas de Bojean'!$E$54</c:f>
              <c:strCache>
                <c:ptCount val="1"/>
                <c:pt idx="0">
                  <c:v>19.000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Bojean'!$G$54:$N$54</c:f>
              <c:numCache>
                <c:formatCode>0.000</c:formatCode>
                <c:ptCount val="8"/>
                <c:pt idx="0">
                  <c:v>0</c:v>
                </c:pt>
                <c:pt idx="1">
                  <c:v>7.9368632676455608E-3</c:v>
                </c:pt>
                <c:pt idx="2">
                  <c:v>3.8594269081749899E-2</c:v>
                </c:pt>
                <c:pt idx="3">
                  <c:v>9.091267804227858E-2</c:v>
                </c:pt>
                <c:pt idx="4">
                  <c:v>0.14724162970000354</c:v>
                </c:pt>
                <c:pt idx="5">
                  <c:v>0.20605421301519156</c:v>
                </c:pt>
                <c:pt idx="6">
                  <c:v>0.26896801597606457</c:v>
                </c:pt>
                <c:pt idx="7">
                  <c:v>0.30568010914029392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F1-4626-B8D9-59A1533AD655}"/>
            </c:ext>
          </c:extLst>
        </c:ser>
        <c:ser>
          <c:idx val="9"/>
          <c:order val="9"/>
          <c:tx>
            <c:strRef>
              <c:f>'Curvas de Bojean'!$E$55</c:f>
              <c:strCache>
                <c:ptCount val="1"/>
                <c:pt idx="0">
                  <c:v>FP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Bojean'!$G$55:$N$55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3.1898375021994175E-3</c:v>
                </c:pt>
                <c:pt idx="7">
                  <c:v>7.7806425968642194E-3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F1-4626-B8D9-59A1533AD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875600"/>
        <c:axId val="2035877520"/>
      </c:scatterChart>
      <c:valAx>
        <c:axId val="203587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5877520"/>
        <c:crosses val="autoZero"/>
        <c:crossBetween val="midCat"/>
      </c:valAx>
      <c:valAx>
        <c:axId val="20358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587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Bojean</a:t>
            </a:r>
            <a:r>
              <a:rPr lang="pt-PT" baseline="0"/>
              <a:t> Curves AP-10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244888335113376"/>
          <c:y val="7.7967620196850426E-2"/>
          <c:w val="0.7888234978024459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'Curvas de Bojean'!$E$35</c:f>
              <c:strCache>
                <c:ptCount val="1"/>
                <c:pt idx="0">
                  <c:v>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Bojean'!$G$35:$N$35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7.7467482196271571E-3</c:v>
                </c:pt>
                <c:pt idx="6">
                  <c:v>4.0100814313364111E-2</c:v>
                </c:pt>
                <c:pt idx="7">
                  <c:v>7.0496724588560211E-2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0-4133-A421-D7542CBC1257}"/>
            </c:ext>
          </c:extLst>
        </c:ser>
        <c:ser>
          <c:idx val="1"/>
          <c:order val="1"/>
          <c:tx>
            <c:strRef>
              <c:f>'Curvas de Bojean'!$E$36</c:f>
              <c:strCache>
                <c:ptCount val="1"/>
                <c:pt idx="0">
                  <c:v>1.000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Bojean'!$G$36:$N$36</c:f>
              <c:numCache>
                <c:formatCode>0.000</c:formatCode>
                <c:ptCount val="8"/>
                <c:pt idx="0">
                  <c:v>0</c:v>
                </c:pt>
                <c:pt idx="1">
                  <c:v>2.8550684548997534E-3</c:v>
                </c:pt>
                <c:pt idx="2">
                  <c:v>1.427955168705336E-2</c:v>
                </c:pt>
                <c:pt idx="3">
                  <c:v>3.4447307300048746E-2</c:v>
                </c:pt>
                <c:pt idx="4">
                  <c:v>6.10373619133429E-2</c:v>
                </c:pt>
                <c:pt idx="5">
                  <c:v>0.11039092305100279</c:v>
                </c:pt>
                <c:pt idx="6">
                  <c:v>0.1964434007610357</c:v>
                </c:pt>
                <c:pt idx="7">
                  <c:v>0.2562037006139754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0-4133-A421-D7542CBC1257}"/>
            </c:ext>
          </c:extLst>
        </c:ser>
        <c:ser>
          <c:idx val="2"/>
          <c:order val="2"/>
          <c:tx>
            <c:strRef>
              <c:f>'Curvas de Bojean'!$E$37</c:f>
              <c:strCache>
                <c:ptCount val="1"/>
                <c:pt idx="0">
                  <c:v>2.000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Bojean'!$G$37:$N$37</c:f>
              <c:numCache>
                <c:formatCode>0.000</c:formatCode>
                <c:ptCount val="8"/>
                <c:pt idx="0">
                  <c:v>0</c:v>
                </c:pt>
                <c:pt idx="1">
                  <c:v>8.4253409837604827E-3</c:v>
                </c:pt>
                <c:pt idx="2">
                  <c:v>3.8692706713297872E-2</c:v>
                </c:pt>
                <c:pt idx="3">
                  <c:v>9.343037246077919E-2</c:v>
                </c:pt>
                <c:pt idx="4">
                  <c:v>0.16406460806232517</c:v>
                </c:pt>
                <c:pt idx="5">
                  <c:v>0.26144675124796252</c:v>
                </c:pt>
                <c:pt idx="6">
                  <c:v>0.38912655906844712</c:v>
                </c:pt>
                <c:pt idx="7">
                  <c:v>0.4670256020496818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0-4133-A421-D7542CBC1257}"/>
            </c:ext>
          </c:extLst>
        </c:ser>
        <c:ser>
          <c:idx val="3"/>
          <c:order val="3"/>
          <c:tx>
            <c:strRef>
              <c:f>'Curvas de Bojean'!$E$38</c:f>
              <c:strCache>
                <c:ptCount val="1"/>
                <c:pt idx="0">
                  <c:v>3.000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Bojean'!$G$38:$N$38</c:f>
              <c:numCache>
                <c:formatCode>0.000</c:formatCode>
                <c:ptCount val="8"/>
                <c:pt idx="0">
                  <c:v>0</c:v>
                </c:pt>
                <c:pt idx="1">
                  <c:v>1.6923771217406295E-2</c:v>
                </c:pt>
                <c:pt idx="2">
                  <c:v>6.9795155289984132E-2</c:v>
                </c:pt>
                <c:pt idx="3">
                  <c:v>0.16215470302541851</c:v>
                </c:pt>
                <c:pt idx="4">
                  <c:v>0.27546551652963402</c:v>
                </c:pt>
                <c:pt idx="5">
                  <c:v>0.41140144103912896</c:v>
                </c:pt>
                <c:pt idx="6">
                  <c:v>0.56725990071760612</c:v>
                </c:pt>
                <c:pt idx="7">
                  <c:v>0.65667785623627017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0-4133-A421-D7542CBC1257}"/>
            </c:ext>
          </c:extLst>
        </c:ser>
        <c:ser>
          <c:idx val="4"/>
          <c:order val="4"/>
          <c:tx>
            <c:strRef>
              <c:f>'Curvas de Bojean'!$E$39</c:f>
              <c:strCache>
                <c:ptCount val="1"/>
                <c:pt idx="0">
                  <c:v>4.000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Bojean'!$G$39:$N$39</c:f>
              <c:numCache>
                <c:formatCode>0.000</c:formatCode>
                <c:ptCount val="8"/>
                <c:pt idx="0">
                  <c:v>0</c:v>
                </c:pt>
                <c:pt idx="1">
                  <c:v>2.6976812860670787E-2</c:v>
                </c:pt>
                <c:pt idx="2">
                  <c:v>0.10354250484091419</c:v>
                </c:pt>
                <c:pt idx="3">
                  <c:v>0.23114970768240151</c:v>
                </c:pt>
                <c:pt idx="4">
                  <c:v>0.37780016401389899</c:v>
                </c:pt>
                <c:pt idx="5">
                  <c:v>0.53959366102677264</c:v>
                </c:pt>
                <c:pt idx="6">
                  <c:v>0.71183542235486275</c:v>
                </c:pt>
                <c:pt idx="7">
                  <c:v>0.80689459597787816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90-4133-A421-D7542CBC1257}"/>
            </c:ext>
          </c:extLst>
        </c:ser>
        <c:ser>
          <c:idx val="5"/>
          <c:order val="5"/>
          <c:tx>
            <c:strRef>
              <c:f>'Curvas de Bojean'!$E$40</c:f>
              <c:strCache>
                <c:ptCount val="1"/>
                <c:pt idx="0">
                  <c:v>5.000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Bojean'!$G$40:$N$40</c:f>
              <c:numCache>
                <c:formatCode>0.000</c:formatCode>
                <c:ptCount val="8"/>
                <c:pt idx="0">
                  <c:v>0</c:v>
                </c:pt>
                <c:pt idx="1">
                  <c:v>3.56945399143591E-2</c:v>
                </c:pt>
                <c:pt idx="2">
                  <c:v>0.13355074105841491</c:v>
                </c:pt>
                <c:pt idx="3">
                  <c:v>0.28897614633898433</c:v>
                </c:pt>
                <c:pt idx="4">
                  <c:v>0.45735085506366219</c:v>
                </c:pt>
                <c:pt idx="5">
                  <c:v>0.63329129249298077</c:v>
                </c:pt>
                <c:pt idx="6">
                  <c:v>0.81326874863895759</c:v>
                </c:pt>
                <c:pt idx="7">
                  <c:v>0.9102702062447442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90-4133-A421-D7542CBC1257}"/>
            </c:ext>
          </c:extLst>
        </c:ser>
        <c:ser>
          <c:idx val="6"/>
          <c:order val="6"/>
          <c:tx>
            <c:strRef>
              <c:f>'Curvas de Bojean'!$E$41</c:f>
              <c:strCache>
                <c:ptCount val="1"/>
                <c:pt idx="0">
                  <c:v>6.000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Bojean'!$G$41:$N$41</c:f>
              <c:numCache>
                <c:formatCode>0.000</c:formatCode>
                <c:ptCount val="8"/>
                <c:pt idx="0">
                  <c:v>0</c:v>
                </c:pt>
                <c:pt idx="1">
                  <c:v>4.2854327604552024E-2</c:v>
                </c:pt>
                <c:pt idx="2">
                  <c:v>0.15605118680255323</c:v>
                </c:pt>
                <c:pt idx="3">
                  <c:v>0.32889808812321292</c:v>
                </c:pt>
                <c:pt idx="4">
                  <c:v>0.50825094682490923</c:v>
                </c:pt>
                <c:pt idx="5">
                  <c:v>0.6890866375870851</c:v>
                </c:pt>
                <c:pt idx="6">
                  <c:v>0.87088632814967892</c:v>
                </c:pt>
                <c:pt idx="7">
                  <c:v>0.96846040712478632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90-4133-A421-D7542CBC1257}"/>
            </c:ext>
          </c:extLst>
        </c:ser>
        <c:ser>
          <c:idx val="7"/>
          <c:order val="7"/>
          <c:tx>
            <c:strRef>
              <c:f>'Curvas de Bojean'!$E$42</c:f>
              <c:strCache>
                <c:ptCount val="1"/>
                <c:pt idx="0">
                  <c:v>7.000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Bojean'!$G$42:$N$42</c:f>
              <c:numCache>
                <c:formatCode>0.000</c:formatCode>
                <c:ptCount val="8"/>
                <c:pt idx="0">
                  <c:v>0</c:v>
                </c:pt>
                <c:pt idx="1">
                  <c:v>4.7362052409102892E-2</c:v>
                </c:pt>
                <c:pt idx="2">
                  <c:v>0.169355606817812</c:v>
                </c:pt>
                <c:pt idx="3">
                  <c:v>0.3492162443778295</c:v>
                </c:pt>
                <c:pt idx="4">
                  <c:v>0.53110065306186927</c:v>
                </c:pt>
                <c:pt idx="5">
                  <c:v>0.71337708175897885</c:v>
                </c:pt>
                <c:pt idx="6">
                  <c:v>0.89565351045608843</c:v>
                </c:pt>
                <c:pt idx="7">
                  <c:v>0.99323584097070261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90-4133-A421-D7542CBC1257}"/>
            </c:ext>
          </c:extLst>
        </c:ser>
        <c:ser>
          <c:idx val="8"/>
          <c:order val="8"/>
          <c:tx>
            <c:strRef>
              <c:f>'Curvas de Bojean'!$E$43</c:f>
              <c:strCache>
                <c:ptCount val="1"/>
                <c:pt idx="0">
                  <c:v>8.000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Bojean'!$G$43:$N$43</c:f>
              <c:numCache>
                <c:formatCode>0.000</c:formatCode>
                <c:ptCount val="8"/>
                <c:pt idx="0">
                  <c:v>0</c:v>
                </c:pt>
                <c:pt idx="1">
                  <c:v>4.8541880869426048E-2</c:v>
                </c:pt>
                <c:pt idx="2">
                  <c:v>0.17274199959948014</c:v>
                </c:pt>
                <c:pt idx="3">
                  <c:v>0.35458686455506194</c:v>
                </c:pt>
                <c:pt idx="4">
                  <c:v>0.53686329325217164</c:v>
                </c:pt>
                <c:pt idx="5">
                  <c:v>0.71913972194928122</c:v>
                </c:pt>
                <c:pt idx="6">
                  <c:v>0.9014161506463908</c:v>
                </c:pt>
                <c:pt idx="7">
                  <c:v>0.99899848116100498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90-4133-A421-D7542CBC1257}"/>
            </c:ext>
          </c:extLst>
        </c:ser>
        <c:ser>
          <c:idx val="9"/>
          <c:order val="9"/>
          <c:tx>
            <c:strRef>
              <c:f>'Curvas de Bojean'!$E$44</c:f>
              <c:strCache>
                <c:ptCount val="1"/>
                <c:pt idx="0">
                  <c:v>9.000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Bojean'!$G$44:$N$44</c:f>
              <c:numCache>
                <c:formatCode>0.000</c:formatCode>
                <c:ptCount val="8"/>
                <c:pt idx="0">
                  <c:v>0</c:v>
                </c:pt>
                <c:pt idx="1">
                  <c:v>4.8569700837175919E-2</c:v>
                </c:pt>
                <c:pt idx="2">
                  <c:v>0.17289964608339606</c:v>
                </c:pt>
                <c:pt idx="3">
                  <c:v>0.35483724426481078</c:v>
                </c:pt>
                <c:pt idx="4">
                  <c:v>0.53711367296192036</c:v>
                </c:pt>
                <c:pt idx="5">
                  <c:v>0.71939010165902995</c:v>
                </c:pt>
                <c:pt idx="6">
                  <c:v>0.90166653035613964</c:v>
                </c:pt>
                <c:pt idx="7">
                  <c:v>0.99924886087075382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490-4133-A421-D7542CBC1257}"/>
            </c:ext>
          </c:extLst>
        </c:ser>
        <c:ser>
          <c:idx val="10"/>
          <c:order val="10"/>
          <c:tx>
            <c:strRef>
              <c:f>'Curvas de Bojean'!$E$45</c:f>
              <c:strCache>
                <c:ptCount val="1"/>
                <c:pt idx="0">
                  <c:v>10.000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'Curvas de Bojean'!$G$34:$N$34</c:f>
              <c:numCache>
                <c:formatCode>0.000</c:formatCode>
                <c:ptCount val="8"/>
                <c:pt idx="0">
                  <c:v>0</c:v>
                </c:pt>
                <c:pt idx="1">
                  <c:v>5.419708029197081E-2</c:v>
                </c:pt>
                <c:pt idx="2">
                  <c:v>0.18065693430656937</c:v>
                </c:pt>
                <c:pt idx="3">
                  <c:v>0.36131386861313874</c:v>
                </c:pt>
                <c:pt idx="4">
                  <c:v>0.54197080291970812</c:v>
                </c:pt>
                <c:pt idx="5">
                  <c:v>0.72262773722627749</c:v>
                </c:pt>
                <c:pt idx="6">
                  <c:v>0.90328467153284675</c:v>
                </c:pt>
                <c:pt idx="7">
                  <c:v>1</c:v>
                </c:pt>
              </c:numCache>
            </c:numRef>
          </c:xVal>
          <c:yVal>
            <c:numRef>
              <c:f>'Curvas de Bojean'!$G$45:$N$45</c:f>
              <c:numCache>
                <c:formatCode>0.000</c:formatCode>
                <c:ptCount val="8"/>
                <c:pt idx="0">
                  <c:v>0</c:v>
                </c:pt>
                <c:pt idx="1">
                  <c:v>4.8597520804925791E-2</c:v>
                </c:pt>
                <c:pt idx="2">
                  <c:v>0.17305729256731195</c:v>
                </c:pt>
                <c:pt idx="3">
                  <c:v>0.35508762397455951</c:v>
                </c:pt>
                <c:pt idx="4">
                  <c:v>0.53736405267166909</c:v>
                </c:pt>
                <c:pt idx="5">
                  <c:v>0.71964048136877867</c:v>
                </c:pt>
                <c:pt idx="6">
                  <c:v>0.90191691006588826</c:v>
                </c:pt>
                <c:pt idx="7">
                  <c:v>0.99949924058050243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90-4133-A421-D7542CBC1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875600"/>
        <c:axId val="2035877520"/>
      </c:scatterChart>
      <c:valAx>
        <c:axId val="203587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5877520"/>
        <c:crosses val="autoZero"/>
        <c:crossBetween val="midCat"/>
      </c:valAx>
      <c:valAx>
        <c:axId val="203587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587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'Curvas de Bojean'!$B$7</c:f>
              <c:strCache>
                <c:ptCount val="1"/>
                <c:pt idx="0">
                  <c:v>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Bojean'!$D$7:$K$7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1.3726968749999999</c:v>
                </c:pt>
                <c:pt idx="6">
                  <c:v>7.1057249999999996</c:v>
                </c:pt>
                <c:pt idx="7">
                  <c:v>12.491774715909088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2D-4E5F-AB57-6D434757B48E}"/>
            </c:ext>
          </c:extLst>
        </c:ser>
        <c:ser>
          <c:idx val="1"/>
          <c:order val="1"/>
          <c:tx>
            <c:strRef>
              <c:f>'Curvas de Bojean'!$B$8</c:f>
              <c:strCache>
                <c:ptCount val="1"/>
                <c:pt idx="0">
                  <c:v>1.000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Bojean'!$D$8:$K$8</c:f>
              <c:numCache>
                <c:formatCode>0.000</c:formatCode>
                <c:ptCount val="8"/>
                <c:pt idx="0">
                  <c:v>0</c:v>
                </c:pt>
                <c:pt idx="1">
                  <c:v>0.50590821269012332</c:v>
                </c:pt>
                <c:pt idx="2">
                  <c:v>2.5302869567332502</c:v>
                </c:pt>
                <c:pt idx="3">
                  <c:v>6.1039431955641135</c:v>
                </c:pt>
                <c:pt idx="4">
                  <c:v>10.815608508407459</c:v>
                </c:pt>
                <c:pt idx="5">
                  <c:v>19.560888104837634</c:v>
                </c:pt>
                <c:pt idx="6">
                  <c:v>34.809088238577687</c:v>
                </c:pt>
                <c:pt idx="7">
                  <c:v>45.398405785952605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2D-4E5F-AB57-6D434757B48E}"/>
            </c:ext>
          </c:extLst>
        </c:ser>
        <c:ser>
          <c:idx val="2"/>
          <c:order val="2"/>
          <c:tx>
            <c:strRef>
              <c:f>'Curvas de Bojean'!$B$9</c:f>
              <c:strCache>
                <c:ptCount val="1"/>
                <c:pt idx="0">
                  <c:v>2.000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Bojean'!$D$9:$K$9</c:f>
              <c:numCache>
                <c:formatCode>0.000</c:formatCode>
                <c:ptCount val="8"/>
                <c:pt idx="0">
                  <c:v>0</c:v>
                </c:pt>
                <c:pt idx="1">
                  <c:v>1.4929411556083945</c:v>
                </c:pt>
                <c:pt idx="2">
                  <c:v>6.8562132245459502</c:v>
                </c:pt>
                <c:pt idx="3">
                  <c:v>16.555537455323449</c:v>
                </c:pt>
                <c:pt idx="4">
                  <c:v>29.071678645068026</c:v>
                </c:pt>
                <c:pt idx="5">
                  <c:v>46.327456145754709</c:v>
                </c:pt>
                <c:pt idx="6">
                  <c:v>68.951874576151965</c:v>
                </c:pt>
                <c:pt idx="7">
                  <c:v>82.755314398154852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2D-4E5F-AB57-6D434757B48E}"/>
            </c:ext>
          </c:extLst>
        </c:ser>
        <c:ser>
          <c:idx val="3"/>
          <c:order val="3"/>
          <c:tx>
            <c:strRef>
              <c:f>'Curvas de Bojean'!$B$10</c:f>
              <c:strCache>
                <c:ptCount val="1"/>
                <c:pt idx="0">
                  <c:v>3.000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Bojean'!$D$10:$K$10</c:f>
              <c:numCache>
                <c:formatCode>0.000</c:formatCode>
                <c:ptCount val="8"/>
                <c:pt idx="0">
                  <c:v>0</c:v>
                </c:pt>
                <c:pt idx="1">
                  <c:v>2.9988334724097512</c:v>
                </c:pt>
                <c:pt idx="2">
                  <c:v>12.367459073209952</c:v>
                </c:pt>
                <c:pt idx="3">
                  <c:v>28.733250106876199</c:v>
                </c:pt>
                <c:pt idx="4">
                  <c:v>48.811532657335867</c:v>
                </c:pt>
                <c:pt idx="5">
                  <c:v>72.898906286138327</c:v>
                </c:pt>
                <c:pt idx="6">
                  <c:v>100.51648394290333</c:v>
                </c:pt>
                <c:pt idx="7">
                  <c:v>116.36103505382954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2D-4E5F-AB57-6D434757B48E}"/>
            </c:ext>
          </c:extLst>
        </c:ser>
        <c:ser>
          <c:idx val="4"/>
          <c:order val="4"/>
          <c:tx>
            <c:strRef>
              <c:f>'Curvas de Bojean'!$B$11</c:f>
              <c:strCache>
                <c:ptCount val="1"/>
                <c:pt idx="0">
                  <c:v>4.000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Bojean'!$D$11:$K$11</c:f>
              <c:numCache>
                <c:formatCode>0.000</c:formatCode>
                <c:ptCount val="8"/>
                <c:pt idx="0">
                  <c:v>0</c:v>
                </c:pt>
                <c:pt idx="1">
                  <c:v>4.7801975308144016</c:v>
                </c:pt>
                <c:pt idx="2">
                  <c:v>18.347372187040818</c:v>
                </c:pt>
                <c:pt idx="3">
                  <c:v>40.958925267364279</c:v>
                </c:pt>
                <c:pt idx="4">
                  <c:v>66.944876716456193</c:v>
                </c:pt>
                <c:pt idx="5">
                  <c:v>95.614122372613934</c:v>
                </c:pt>
                <c:pt idx="6">
                  <c:v>126.13476417177964</c:v>
                </c:pt>
                <c:pt idx="7">
                  <c:v>142.97891953516071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C2D-4E5F-AB57-6D434757B48E}"/>
            </c:ext>
          </c:extLst>
        </c:ser>
        <c:ser>
          <c:idx val="5"/>
          <c:order val="5"/>
          <c:tx>
            <c:strRef>
              <c:f>'Curvas de Bojean'!$B$12</c:f>
              <c:strCache>
                <c:ptCount val="1"/>
                <c:pt idx="0">
                  <c:v>5.000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Bojean'!$D$12:$K$12</c:f>
              <c:numCache>
                <c:formatCode>0.000</c:formatCode>
                <c:ptCount val="8"/>
                <c:pt idx="0">
                  <c:v>0</c:v>
                </c:pt>
                <c:pt idx="1">
                  <c:v>6.324948482366155</c:v>
                </c:pt>
                <c:pt idx="2">
                  <c:v>23.664727406571572</c:v>
                </c:pt>
                <c:pt idx="3">
                  <c:v>51.205569328308194</c:v>
                </c:pt>
                <c:pt idx="4">
                  <c:v>81.040982838949489</c:v>
                </c:pt>
                <c:pt idx="5">
                  <c:v>112.21701719533425</c:v>
                </c:pt>
                <c:pt idx="6">
                  <c:v>144.10839724510723</c:v>
                </c:pt>
                <c:pt idx="7">
                  <c:v>161.2967185834141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C2D-4E5F-AB57-6D434757B48E}"/>
            </c:ext>
          </c:extLst>
        </c:ser>
        <c:ser>
          <c:idx val="6"/>
          <c:order val="6"/>
          <c:tx>
            <c:strRef>
              <c:f>'Curvas de Bojean'!$B$13</c:f>
              <c:strCache>
                <c:ptCount val="1"/>
                <c:pt idx="0">
                  <c:v>6.000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Bojean'!$D$13:$K$13</c:f>
              <c:numCache>
                <c:formatCode>0.000</c:formatCode>
                <c:ptCount val="8"/>
                <c:pt idx="0">
                  <c:v>0</c:v>
                </c:pt>
                <c:pt idx="1">
                  <c:v>7.5936379904478208</c:v>
                </c:pt>
                <c:pt idx="2">
                  <c:v>27.651728233684068</c:v>
                </c:pt>
                <c:pt idx="3">
                  <c:v>58.279598737486538</c:v>
                </c:pt>
                <c:pt idx="4">
                  <c:v>90.060302289768032</c:v>
                </c:pt>
                <c:pt idx="5">
                  <c:v>122.10375853232193</c:v>
                </c:pt>
                <c:pt idx="6">
                  <c:v>154.31803219090875</c:v>
                </c:pt>
                <c:pt idx="7">
                  <c:v>171.60782004677114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C2D-4E5F-AB57-6D434757B48E}"/>
            </c:ext>
          </c:extLst>
        </c:ser>
        <c:ser>
          <c:idx val="7"/>
          <c:order val="7"/>
          <c:tx>
            <c:strRef>
              <c:f>'Curvas de Bojean'!$B$14</c:f>
              <c:strCache>
                <c:ptCount val="1"/>
                <c:pt idx="0">
                  <c:v>7.000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Bojean'!$D$14:$K$14</c:f>
              <c:numCache>
                <c:formatCode>0.000</c:formatCode>
                <c:ptCount val="8"/>
                <c:pt idx="0">
                  <c:v>0</c:v>
                </c:pt>
                <c:pt idx="1">
                  <c:v>8.3923911675408505</c:v>
                </c:pt>
                <c:pt idx="2">
                  <c:v>30.009225245444721</c:v>
                </c:pt>
                <c:pt idx="3">
                  <c:v>61.87990544757298</c:v>
                </c:pt>
                <c:pt idx="4">
                  <c:v>94.109190862998645</c:v>
                </c:pt>
                <c:pt idx="5">
                  <c:v>126.40794086299864</c:v>
                </c:pt>
                <c:pt idx="6">
                  <c:v>158.70669086299864</c:v>
                </c:pt>
                <c:pt idx="7">
                  <c:v>175.99794086299863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C2D-4E5F-AB57-6D434757B48E}"/>
            </c:ext>
          </c:extLst>
        </c:ser>
        <c:ser>
          <c:idx val="8"/>
          <c:order val="8"/>
          <c:tx>
            <c:strRef>
              <c:f>'Curvas de Bojean'!$B$15</c:f>
              <c:strCache>
                <c:ptCount val="1"/>
                <c:pt idx="0">
                  <c:v>8.000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Bojean'!$D$15:$K$15</c:f>
              <c:numCache>
                <c:formatCode>0.000</c:formatCode>
                <c:ptCount val="8"/>
                <c:pt idx="0">
                  <c:v>0</c:v>
                </c:pt>
                <c:pt idx="1">
                  <c:v>8.6014526723950251</c:v>
                </c:pt>
                <c:pt idx="2">
                  <c:v>30.609282283201672</c:v>
                </c:pt>
                <c:pt idx="3">
                  <c:v>62.831560687305789</c:v>
                </c:pt>
                <c:pt idx="4">
                  <c:v>95.130310687305794</c:v>
                </c:pt>
                <c:pt idx="5">
                  <c:v>127.42906068730579</c:v>
                </c:pt>
                <c:pt idx="6">
                  <c:v>159.72781068730581</c:v>
                </c:pt>
                <c:pt idx="7">
                  <c:v>177.0190606873058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C2D-4E5F-AB57-6D434757B48E}"/>
            </c:ext>
          </c:extLst>
        </c:ser>
        <c:ser>
          <c:idx val="9"/>
          <c:order val="9"/>
          <c:tx>
            <c:strRef>
              <c:f>'Curvas de Bojean'!$B$16</c:f>
              <c:strCache>
                <c:ptCount val="1"/>
                <c:pt idx="0">
                  <c:v>9.000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Bojean'!$D$16:$K$16</c:f>
              <c:numCache>
                <c:formatCode>0.000</c:formatCode>
                <c:ptCount val="8"/>
                <c:pt idx="0">
                  <c:v>0</c:v>
                </c:pt>
                <c:pt idx="1">
                  <c:v>8.6063822740433782</c:v>
                </c:pt>
                <c:pt idx="2">
                  <c:v>30.637216692542331</c:v>
                </c:pt>
                <c:pt idx="3">
                  <c:v>62.875927102140956</c:v>
                </c:pt>
                <c:pt idx="4">
                  <c:v>95.174677102140961</c:v>
                </c:pt>
                <c:pt idx="5">
                  <c:v>127.47342710214096</c:v>
                </c:pt>
                <c:pt idx="6">
                  <c:v>159.77217710214097</c:v>
                </c:pt>
                <c:pt idx="7">
                  <c:v>177.06342710214096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C2D-4E5F-AB57-6D434757B48E}"/>
            </c:ext>
          </c:extLst>
        </c:ser>
        <c:ser>
          <c:idx val="10"/>
          <c:order val="10"/>
          <c:tx>
            <c:strRef>
              <c:f>'Curvas de Bojean'!$B$17</c:f>
              <c:strCache>
                <c:ptCount val="1"/>
                <c:pt idx="0">
                  <c:v>10.000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Bojean'!$D$17:$K$17</c:f>
              <c:numCache>
                <c:formatCode>0.000</c:formatCode>
                <c:ptCount val="8"/>
                <c:pt idx="0">
                  <c:v>0</c:v>
                </c:pt>
                <c:pt idx="1">
                  <c:v>8.6113118756917313</c:v>
                </c:pt>
                <c:pt idx="2">
                  <c:v>30.665151101882991</c:v>
                </c:pt>
                <c:pt idx="3">
                  <c:v>62.920293516976116</c:v>
                </c:pt>
                <c:pt idx="4">
                  <c:v>95.219043516976114</c:v>
                </c:pt>
                <c:pt idx="5">
                  <c:v>127.51779351697611</c:v>
                </c:pt>
                <c:pt idx="6">
                  <c:v>159.81654351697611</c:v>
                </c:pt>
                <c:pt idx="7">
                  <c:v>177.1077935169761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C2D-4E5F-AB57-6D434757B48E}"/>
            </c:ext>
          </c:extLst>
        </c:ser>
        <c:ser>
          <c:idx val="11"/>
          <c:order val="11"/>
          <c:tx>
            <c:strRef>
              <c:f>'Curvas de Bojean'!$B$18</c:f>
              <c:strCache>
                <c:ptCount val="1"/>
                <c:pt idx="0">
                  <c:v>11.000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Bojean'!$D$18:$K$18</c:f>
              <c:numCache>
                <c:formatCode>0.000</c:formatCode>
                <c:ptCount val="8"/>
                <c:pt idx="0">
                  <c:v>0</c:v>
                </c:pt>
                <c:pt idx="1">
                  <c:v>8.6162414773400826</c:v>
                </c:pt>
                <c:pt idx="2">
                  <c:v>30.693085511223654</c:v>
                </c:pt>
                <c:pt idx="3">
                  <c:v>62.964659931811283</c:v>
                </c:pt>
                <c:pt idx="4">
                  <c:v>95.263409931811282</c:v>
                </c:pt>
                <c:pt idx="5">
                  <c:v>127.56215993181128</c:v>
                </c:pt>
                <c:pt idx="6">
                  <c:v>159.86090993181128</c:v>
                </c:pt>
                <c:pt idx="7">
                  <c:v>177.15215993181127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C2D-4E5F-AB57-6D434757B48E}"/>
            </c:ext>
          </c:extLst>
        </c:ser>
        <c:ser>
          <c:idx val="12"/>
          <c:order val="12"/>
          <c:tx>
            <c:strRef>
              <c:f>'Curvas de Bojean'!$B$19</c:f>
              <c:strCache>
                <c:ptCount val="1"/>
                <c:pt idx="0">
                  <c:v>12.000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Bojean'!$D$19:$K$19</c:f>
              <c:numCache>
                <c:formatCode>0.000</c:formatCode>
                <c:ptCount val="8"/>
                <c:pt idx="0">
                  <c:v>0</c:v>
                </c:pt>
                <c:pt idx="1">
                  <c:v>8.6211710789884322</c:v>
                </c:pt>
                <c:pt idx="2">
                  <c:v>30.721019920564309</c:v>
                </c:pt>
                <c:pt idx="3">
                  <c:v>63.009026346646451</c:v>
                </c:pt>
                <c:pt idx="4">
                  <c:v>95.307776346646449</c:v>
                </c:pt>
                <c:pt idx="5">
                  <c:v>127.60652634664645</c:v>
                </c:pt>
                <c:pt idx="6">
                  <c:v>159.90527634664645</c:v>
                </c:pt>
                <c:pt idx="7">
                  <c:v>177.19652634664644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C2D-4E5F-AB57-6D434757B48E}"/>
            </c:ext>
          </c:extLst>
        </c:ser>
        <c:ser>
          <c:idx val="13"/>
          <c:order val="13"/>
          <c:tx>
            <c:strRef>
              <c:f>'Curvas de Bojean'!$B$20</c:f>
              <c:strCache>
                <c:ptCount val="1"/>
                <c:pt idx="0">
                  <c:v>13.000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Bojean'!$D$20:$K$20</c:f>
              <c:numCache>
                <c:formatCode>0.000</c:formatCode>
                <c:ptCount val="8"/>
                <c:pt idx="0">
                  <c:v>0</c:v>
                </c:pt>
                <c:pt idx="1">
                  <c:v>8.5216564391474972</c:v>
                </c:pt>
                <c:pt idx="2">
                  <c:v>30.444769221777968</c:v>
                </c:pt>
                <c:pt idx="3">
                  <c:v>62.606535605756243</c:v>
                </c:pt>
                <c:pt idx="4">
                  <c:v>94.871039701750817</c:v>
                </c:pt>
                <c:pt idx="5">
                  <c:v>127.16978970175082</c:v>
                </c:pt>
                <c:pt idx="6">
                  <c:v>159.46853970175081</c:v>
                </c:pt>
                <c:pt idx="7">
                  <c:v>176.7597897017508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C2D-4E5F-AB57-6D434757B48E}"/>
            </c:ext>
          </c:extLst>
        </c:ser>
        <c:ser>
          <c:idx val="14"/>
          <c:order val="14"/>
          <c:tx>
            <c:strRef>
              <c:f>'Curvas de Bojean'!$B$21</c:f>
              <c:strCache>
                <c:ptCount val="1"/>
                <c:pt idx="0">
                  <c:v>14.000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Bojean'!$D$21:$K$21</c:f>
              <c:numCache>
                <c:formatCode>0.000</c:formatCode>
                <c:ptCount val="8"/>
                <c:pt idx="0">
                  <c:v>0</c:v>
                </c:pt>
                <c:pt idx="1">
                  <c:v>8.349359482403452</c:v>
                </c:pt>
                <c:pt idx="2">
                  <c:v>29.745427561288267</c:v>
                </c:pt>
                <c:pt idx="3">
                  <c:v>61.354220887255678</c:v>
                </c:pt>
                <c:pt idx="4">
                  <c:v>93.362527341379916</c:v>
                </c:pt>
                <c:pt idx="5">
                  <c:v>125.45158067050414</c:v>
                </c:pt>
                <c:pt idx="6">
                  <c:v>157.59305816734732</c:v>
                </c:pt>
                <c:pt idx="7">
                  <c:v>174.84320218541484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C2D-4E5F-AB57-6D434757B48E}"/>
            </c:ext>
          </c:extLst>
        </c:ser>
        <c:ser>
          <c:idx val="15"/>
          <c:order val="15"/>
          <c:tx>
            <c:strRef>
              <c:f>'Curvas de Bojean'!$B$22</c:f>
              <c:strCache>
                <c:ptCount val="1"/>
                <c:pt idx="0">
                  <c:v>15.000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Bojean'!$D$22:$K$22</c:f>
              <c:numCache>
                <c:formatCode>0.000</c:formatCode>
                <c:ptCount val="8"/>
                <c:pt idx="0">
                  <c:v>0</c:v>
                </c:pt>
                <c:pt idx="1">
                  <c:v>7.6813557808917787</c:v>
                </c:pt>
                <c:pt idx="2">
                  <c:v>27.885564375099968</c:v>
                </c:pt>
                <c:pt idx="3">
                  <c:v>58.237062278613209</c:v>
                </c:pt>
                <c:pt idx="4">
                  <c:v>89.355451157856251</c:v>
                </c:pt>
                <c:pt idx="5">
                  <c:v>120.90759906926154</c:v>
                </c:pt>
                <c:pt idx="6">
                  <c:v>152.61109628709929</c:v>
                </c:pt>
                <c:pt idx="7">
                  <c:v>169.63248369646183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C2D-4E5F-AB57-6D434757B48E}"/>
            </c:ext>
          </c:extLst>
        </c:ser>
        <c:ser>
          <c:idx val="16"/>
          <c:order val="16"/>
          <c:tx>
            <c:strRef>
              <c:f>'Curvas de Bojean'!$B$23</c:f>
              <c:strCache>
                <c:ptCount val="1"/>
                <c:pt idx="0">
                  <c:v>16.000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Bojean'!$D$23:$K$23</c:f>
              <c:numCache>
                <c:formatCode>0.000</c:formatCode>
                <c:ptCount val="8"/>
                <c:pt idx="0">
                  <c:v>0</c:v>
                </c:pt>
                <c:pt idx="1">
                  <c:v>6.4599977640389703</c:v>
                </c:pt>
                <c:pt idx="2">
                  <c:v>24.243619362521656</c:v>
                </c:pt>
                <c:pt idx="3">
                  <c:v>51.941432181683233</c:v>
                </c:pt>
                <c:pt idx="4">
                  <c:v>80.9552964612827</c:v>
                </c:pt>
                <c:pt idx="5">
                  <c:v>110.63923720132004</c:v>
                </c:pt>
                <c:pt idx="6">
                  <c:v>140.75904759694123</c:v>
                </c:pt>
                <c:pt idx="7">
                  <c:v>157.05518724378146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C2D-4E5F-AB57-6D434757B48E}"/>
            </c:ext>
          </c:extLst>
        </c:ser>
        <c:ser>
          <c:idx val="17"/>
          <c:order val="17"/>
          <c:tx>
            <c:strRef>
              <c:f>'Curvas de Bojean'!$B$24</c:f>
              <c:strCache>
                <c:ptCount val="1"/>
                <c:pt idx="0">
                  <c:v>17.000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Bojean'!$D$24:$K$24</c:f>
              <c:numCache>
                <c:formatCode>0.000</c:formatCode>
                <c:ptCount val="8"/>
                <c:pt idx="0">
                  <c:v>0</c:v>
                </c:pt>
                <c:pt idx="1">
                  <c:v>4.8064953674236301</c:v>
                </c:pt>
                <c:pt idx="2">
                  <c:v>19.015882850850318</c:v>
                </c:pt>
                <c:pt idx="3">
                  <c:v>42.363508863579455</c:v>
                </c:pt>
                <c:pt idx="4">
                  <c:v>67.271537585168076</c:v>
                </c:pt>
                <c:pt idx="5">
                  <c:v>93.067781931756684</c:v>
                </c:pt>
                <c:pt idx="6">
                  <c:v>119.61696023720476</c:v>
                </c:pt>
                <c:pt idx="7">
                  <c:v>134.17849333047386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C2D-4E5F-AB57-6D434757B48E}"/>
            </c:ext>
          </c:extLst>
        </c:ser>
        <c:ser>
          <c:idx val="18"/>
          <c:order val="18"/>
          <c:tx>
            <c:strRef>
              <c:f>'Curvas de Bojean'!$B$25</c:f>
              <c:strCache>
                <c:ptCount val="1"/>
                <c:pt idx="0">
                  <c:v>18.000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Bojean'!$D$25:$K$25</c:f>
              <c:numCache>
                <c:formatCode>0.000</c:formatCode>
                <c:ptCount val="8"/>
                <c:pt idx="0">
                  <c:v>0</c:v>
                </c:pt>
                <c:pt idx="1">
                  <c:v>3.1822168058706835</c:v>
                </c:pt>
                <c:pt idx="2">
                  <c:v>13.62292431049902</c:v>
                </c:pt>
                <c:pt idx="3">
                  <c:v>30.908202827963418</c:v>
                </c:pt>
                <c:pt idx="4">
                  <c:v>49.586467107562925</c:v>
                </c:pt>
                <c:pt idx="5">
                  <c:v>68.975385621870501</c:v>
                </c:pt>
                <c:pt idx="6">
                  <c:v>89.127382538605104</c:v>
                </c:pt>
                <c:pt idx="7">
                  <c:v>100.40217872749596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CC2D-4E5F-AB57-6D434757B48E}"/>
            </c:ext>
          </c:extLst>
        </c:ser>
        <c:ser>
          <c:idx val="19"/>
          <c:order val="19"/>
          <c:tx>
            <c:strRef>
              <c:f>'Curvas de Bojean'!$B$26</c:f>
              <c:strCache>
                <c:ptCount val="1"/>
                <c:pt idx="0">
                  <c:v>19.000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Bojean'!$D$26:$K$26</c:f>
              <c:numCache>
                <c:formatCode>0.000</c:formatCode>
                <c:ptCount val="8"/>
                <c:pt idx="0">
                  <c:v>0</c:v>
                </c:pt>
                <c:pt idx="1">
                  <c:v>1.4063846011150869</c:v>
                </c:pt>
                <c:pt idx="2">
                  <c:v>6.8387704181738576</c:v>
                </c:pt>
                <c:pt idx="3">
                  <c:v>16.109410749962802</c:v>
                </c:pt>
                <c:pt idx="4">
                  <c:v>26.090705316459836</c:v>
                </c:pt>
                <c:pt idx="5">
                  <c:v>36.51209078538389</c:v>
                </c:pt>
                <c:pt idx="6">
                  <c:v>47.660198129307943</c:v>
                </c:pt>
                <c:pt idx="7">
                  <c:v>54.165453512923847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CC2D-4E5F-AB57-6D434757B48E}"/>
            </c:ext>
          </c:extLst>
        </c:ser>
        <c:ser>
          <c:idx val="20"/>
          <c:order val="20"/>
          <c:tx>
            <c:strRef>
              <c:f>'Curvas de Bojean'!$B$27</c:f>
              <c:strCache>
                <c:ptCount val="1"/>
                <c:pt idx="0">
                  <c:v>FP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'Curvas de Bojean'!$D$27:$K$27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0.56522812499999997</c:v>
                </c:pt>
                <c:pt idx="7">
                  <c:v>1.3787028409090902</c:v>
                </c:pt>
              </c:numCache>
            </c:numRef>
          </c:xVal>
          <c:yVal>
            <c:numRef>
              <c:f>'Curvas de Bojean'!$D$6:$K$6</c:f>
              <c:numCache>
                <c:formatCode>0.000</c:formatCode>
                <c:ptCount val="8"/>
                <c:pt idx="0">
                  <c:v>0</c:v>
                </c:pt>
                <c:pt idx="1">
                  <c:v>0.74250000000000005</c:v>
                </c:pt>
                <c:pt idx="2">
                  <c:v>2.4750000000000001</c:v>
                </c:pt>
                <c:pt idx="3">
                  <c:v>4.95</c:v>
                </c:pt>
                <c:pt idx="4">
                  <c:v>7.4250000000000007</c:v>
                </c:pt>
                <c:pt idx="5">
                  <c:v>9.9</c:v>
                </c:pt>
                <c:pt idx="6">
                  <c:v>12.375</c:v>
                </c:pt>
                <c:pt idx="7">
                  <c:v>13.7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CC2D-4E5F-AB57-6D434757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936992"/>
        <c:axId val="1454916832"/>
      </c:scatterChart>
      <c:valAx>
        <c:axId val="145493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4916832"/>
        <c:crosses val="autoZero"/>
        <c:crossBetween val="midCat"/>
      </c:valAx>
      <c:valAx>
        <c:axId val="14549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493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Peso da Maquinaria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7571761668161352E-2"/>
          <c:y val="0.11559544977621106"/>
          <c:w val="0.92969475273749436"/>
          <c:h val="0.731540168525846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LW!$B$18:$B$37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LW!$C$18:$C$37</c:f>
              <c:numCache>
                <c:formatCode>0</c:formatCode>
                <c:ptCount val="20"/>
                <c:pt idx="0">
                  <c:v>72.558849206349208</c:v>
                </c:pt>
                <c:pt idx="1">
                  <c:v>261.21185714285713</c:v>
                </c:pt>
                <c:pt idx="2">
                  <c:v>404.00767238095239</c:v>
                </c:pt>
                <c:pt idx="3">
                  <c:v>277.46503936507935</c:v>
                </c:pt>
                <c:pt idx="4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3-4264-8354-ACC7B5B624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055311"/>
        <c:axId val="204053647"/>
      </c:barChart>
      <c:catAx>
        <c:axId val="20405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53647"/>
        <c:crosses val="autoZero"/>
        <c:auto val="1"/>
        <c:lblAlgn val="ctr"/>
        <c:lblOffset val="100"/>
        <c:noMultiLvlLbl val="0"/>
      </c:catAx>
      <c:valAx>
        <c:axId val="2040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Peso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5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Peso da Superestrutura</a:t>
            </a:r>
          </a:p>
        </c:rich>
      </c:tx>
      <c:layout>
        <c:manualLayout>
          <c:xMode val="edge"/>
          <c:yMode val="edge"/>
          <c:x val="0.4144619961824853"/>
          <c:y val="1.96272572633730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LW!$B$55:$B$74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LW!$C$55:$C$74</c:f>
              <c:numCache>
                <c:formatCode>0</c:formatCode>
                <c:ptCount val="20"/>
                <c:pt idx="0">
                  <c:v>29.147533915842722</c:v>
                </c:pt>
                <c:pt idx="1">
                  <c:v>104.93112209703378</c:v>
                </c:pt>
                <c:pt idx="2">
                  <c:v>164.72253391584269</c:v>
                </c:pt>
                <c:pt idx="3">
                  <c:v>189.26881007128074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27.287907246376808</c:v>
                </c:pt>
                <c:pt idx="19">
                  <c:v>11.757692753623187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4-4EB6-B5E6-DDF82236E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3669743"/>
        <c:axId val="1563644367"/>
      </c:barChart>
      <c:catAx>
        <c:axId val="15636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3644367"/>
        <c:crosses val="autoZero"/>
        <c:auto val="1"/>
        <c:lblAlgn val="ctr"/>
        <c:lblOffset val="100"/>
        <c:noMultiLvlLbl val="0"/>
      </c:catAx>
      <c:valAx>
        <c:axId val="15636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366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Peso do</a:t>
            </a:r>
            <a:r>
              <a:rPr lang="en-US" baseline="0"/>
              <a:t> Casco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LW!$H$82:$H$101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LW!$I$82:$I$101</c:f>
              <c:numCache>
                <c:formatCode>0</c:formatCode>
                <c:ptCount val="20"/>
                <c:pt idx="0">
                  <c:v>222.37884878141088</c:v>
                </c:pt>
                <c:pt idx="1">
                  <c:v>240.11619017320987</c:v>
                </c:pt>
                <c:pt idx="2">
                  <c:v>257.85353156500884</c:v>
                </c:pt>
                <c:pt idx="3">
                  <c:v>275.5908729568078</c:v>
                </c:pt>
                <c:pt idx="4">
                  <c:v>293.32821434860676</c:v>
                </c:pt>
                <c:pt idx="5">
                  <c:v>311.06555574040573</c:v>
                </c:pt>
                <c:pt idx="6">
                  <c:v>328.80289713220469</c:v>
                </c:pt>
                <c:pt idx="7">
                  <c:v>346.54023852400366</c:v>
                </c:pt>
                <c:pt idx="8">
                  <c:v>364.27757991580285</c:v>
                </c:pt>
                <c:pt idx="9">
                  <c:v>364.27757991580285</c:v>
                </c:pt>
                <c:pt idx="10">
                  <c:v>364.27757991580285</c:v>
                </c:pt>
                <c:pt idx="11">
                  <c:v>364.27757991580285</c:v>
                </c:pt>
                <c:pt idx="12">
                  <c:v>364.27757991580285</c:v>
                </c:pt>
                <c:pt idx="13">
                  <c:v>364.27757991580285</c:v>
                </c:pt>
                <c:pt idx="14">
                  <c:v>334.70890456545334</c:v>
                </c:pt>
                <c:pt idx="15">
                  <c:v>305.14022921510377</c:v>
                </c:pt>
                <c:pt idx="16">
                  <c:v>275.57155386475421</c:v>
                </c:pt>
                <c:pt idx="17">
                  <c:v>246.00287851440464</c:v>
                </c:pt>
                <c:pt idx="18">
                  <c:v>216.43420316405508</c:v>
                </c:pt>
                <c:pt idx="19">
                  <c:v>186.86552781370551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6-43E8-BD3B-A5DCF8CFF7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3669743"/>
        <c:axId val="1563644367"/>
      </c:barChart>
      <c:catAx>
        <c:axId val="15636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3644367"/>
        <c:crosses val="autoZero"/>
        <c:auto val="1"/>
        <c:lblAlgn val="ctr"/>
        <c:lblOffset val="100"/>
        <c:noMultiLvlLbl val="0"/>
      </c:catAx>
      <c:valAx>
        <c:axId val="156364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6366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Peso do Equipamento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LW!$B$117:$B$136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LW!$C$117:$C$136</c:f>
              <c:numCache>
                <c:formatCode>0</c:formatCode>
                <c:ptCount val="20"/>
                <c:pt idx="0">
                  <c:v>88.142132707238943</c:v>
                </c:pt>
                <c:pt idx="1">
                  <c:v>130.8777122016578</c:v>
                </c:pt>
                <c:pt idx="2">
                  <c:v>200.32302888008849</c:v>
                </c:pt>
                <c:pt idx="3">
                  <c:v>237.716660937705</c:v>
                </c:pt>
                <c:pt idx="4">
                  <c:v>232.37471350090266</c:v>
                </c:pt>
                <c:pt idx="5">
                  <c:v>40.0646057760177</c:v>
                </c:pt>
                <c:pt idx="6">
                  <c:v>40.0646057760177</c:v>
                </c:pt>
                <c:pt idx="7">
                  <c:v>40.0646057760177</c:v>
                </c:pt>
                <c:pt idx="8">
                  <c:v>40.0646057760177</c:v>
                </c:pt>
                <c:pt idx="9">
                  <c:v>40.0646057760177</c:v>
                </c:pt>
                <c:pt idx="10">
                  <c:v>40.0646057760177</c:v>
                </c:pt>
                <c:pt idx="11">
                  <c:v>40.0646057760177</c:v>
                </c:pt>
                <c:pt idx="12">
                  <c:v>40.0646057760177</c:v>
                </c:pt>
                <c:pt idx="13">
                  <c:v>40.0646057760177</c:v>
                </c:pt>
                <c:pt idx="14">
                  <c:v>40.0646057760177</c:v>
                </c:pt>
                <c:pt idx="15">
                  <c:v>40.0646057760177</c:v>
                </c:pt>
                <c:pt idx="16">
                  <c:v>40.0646057760177</c:v>
                </c:pt>
                <c:pt idx="17">
                  <c:v>40.0646057760177</c:v>
                </c:pt>
                <c:pt idx="18">
                  <c:v>40.0646057760177</c:v>
                </c:pt>
                <c:pt idx="19">
                  <c:v>152.24550194886726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F-44CA-B0CA-8857C88791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055311"/>
        <c:axId val="204053647"/>
      </c:barChart>
      <c:catAx>
        <c:axId val="20405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53647"/>
        <c:crosses val="autoZero"/>
        <c:auto val="1"/>
        <c:lblAlgn val="ctr"/>
        <c:lblOffset val="100"/>
        <c:noMultiLvlLbl val="0"/>
      </c:catAx>
      <c:valAx>
        <c:axId val="2040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Peso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5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de Pesos no Navio Leve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LW!$C$144</c:f>
              <c:strCache>
                <c:ptCount val="1"/>
                <c:pt idx="0">
                  <c:v>Maquinaria (t)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LW!$B$145:$B$164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LW!$C$145:$C$164</c:f>
              <c:numCache>
                <c:formatCode>0</c:formatCode>
                <c:ptCount val="20"/>
                <c:pt idx="0">
                  <c:v>72.558849206349208</c:v>
                </c:pt>
                <c:pt idx="1">
                  <c:v>261.21185714285713</c:v>
                </c:pt>
                <c:pt idx="2">
                  <c:v>404.00767238095239</c:v>
                </c:pt>
                <c:pt idx="3">
                  <c:v>277.46503936507935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862-9035-47DC07FE09D8}"/>
            </c:ext>
          </c:extLst>
        </c:ser>
        <c:ser>
          <c:idx val="1"/>
          <c:order val="1"/>
          <c:tx>
            <c:strRef>
              <c:f>LW!$D$144</c:f>
              <c:strCache>
                <c:ptCount val="1"/>
                <c:pt idx="0">
                  <c:v>Superestrutura (t)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LW!$B$145:$B$164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LW!$D$145:$D$164</c:f>
              <c:numCache>
                <c:formatCode>0</c:formatCode>
                <c:ptCount val="20"/>
                <c:pt idx="0">
                  <c:v>29.147533915842722</c:v>
                </c:pt>
                <c:pt idx="1">
                  <c:v>104.93112209703378</c:v>
                </c:pt>
                <c:pt idx="2">
                  <c:v>164.72253391584269</c:v>
                </c:pt>
                <c:pt idx="3">
                  <c:v>189.26881007128074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27.287907246376808</c:v>
                </c:pt>
                <c:pt idx="19">
                  <c:v>11.757692753623187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862-9035-47DC07FE09D8}"/>
            </c:ext>
          </c:extLst>
        </c:ser>
        <c:ser>
          <c:idx val="2"/>
          <c:order val="2"/>
          <c:tx>
            <c:strRef>
              <c:f>LW!$E$144</c:f>
              <c:strCache>
                <c:ptCount val="1"/>
                <c:pt idx="0">
                  <c:v>Casco (t)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LW!$B$145:$B$164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LW!$E$145:$E$164</c:f>
              <c:numCache>
                <c:formatCode>0</c:formatCode>
                <c:ptCount val="20"/>
                <c:pt idx="0">
                  <c:v>222.37884878141088</c:v>
                </c:pt>
                <c:pt idx="1">
                  <c:v>240.11619017320987</c:v>
                </c:pt>
                <c:pt idx="2">
                  <c:v>257.85353156500884</c:v>
                </c:pt>
                <c:pt idx="3">
                  <c:v>275.5908729568078</c:v>
                </c:pt>
                <c:pt idx="4">
                  <c:v>293.32821434860676</c:v>
                </c:pt>
                <c:pt idx="5">
                  <c:v>311.06555574040573</c:v>
                </c:pt>
                <c:pt idx="6">
                  <c:v>328.80289713220469</c:v>
                </c:pt>
                <c:pt idx="7">
                  <c:v>346.54023852400366</c:v>
                </c:pt>
                <c:pt idx="8">
                  <c:v>364.27757991580285</c:v>
                </c:pt>
                <c:pt idx="9">
                  <c:v>364.27757991580285</c:v>
                </c:pt>
                <c:pt idx="10">
                  <c:v>364.27757991580285</c:v>
                </c:pt>
                <c:pt idx="11">
                  <c:v>364.27757991580285</c:v>
                </c:pt>
                <c:pt idx="12">
                  <c:v>364.27757991580285</c:v>
                </c:pt>
                <c:pt idx="13">
                  <c:v>364.27757991580285</c:v>
                </c:pt>
                <c:pt idx="14">
                  <c:v>334.70890456545334</c:v>
                </c:pt>
                <c:pt idx="15">
                  <c:v>305.14022921510377</c:v>
                </c:pt>
                <c:pt idx="16">
                  <c:v>275.57155386475421</c:v>
                </c:pt>
                <c:pt idx="17">
                  <c:v>246.00287851440464</c:v>
                </c:pt>
                <c:pt idx="18">
                  <c:v>216.43420316405508</c:v>
                </c:pt>
                <c:pt idx="19">
                  <c:v>186.86552781370551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862-9035-47DC07FE09D8}"/>
            </c:ext>
          </c:extLst>
        </c:ser>
        <c:ser>
          <c:idx val="3"/>
          <c:order val="3"/>
          <c:tx>
            <c:strRef>
              <c:f>LW!$F$144</c:f>
              <c:strCache>
                <c:ptCount val="1"/>
                <c:pt idx="0">
                  <c:v>Equipamento (t)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LW!$B$145:$B$164</c:f>
              <c:strCache>
                <c:ptCount val="20"/>
                <c:pt idx="0">
                  <c:v>0→1</c:v>
                </c:pt>
                <c:pt idx="1">
                  <c:v>1→2</c:v>
                </c:pt>
                <c:pt idx="2">
                  <c:v>2→3</c:v>
                </c:pt>
                <c:pt idx="3">
                  <c:v>3→4</c:v>
                </c:pt>
                <c:pt idx="4">
                  <c:v>4→5</c:v>
                </c:pt>
                <c:pt idx="5">
                  <c:v>5→6</c:v>
                </c:pt>
                <c:pt idx="6">
                  <c:v>6→7</c:v>
                </c:pt>
                <c:pt idx="7">
                  <c:v>7→8</c:v>
                </c:pt>
                <c:pt idx="8">
                  <c:v>8→9</c:v>
                </c:pt>
                <c:pt idx="9">
                  <c:v>9→10</c:v>
                </c:pt>
                <c:pt idx="10">
                  <c:v>10→11</c:v>
                </c:pt>
                <c:pt idx="11">
                  <c:v>11→12</c:v>
                </c:pt>
                <c:pt idx="12">
                  <c:v>12→13</c:v>
                </c:pt>
                <c:pt idx="13">
                  <c:v>13→14</c:v>
                </c:pt>
                <c:pt idx="14">
                  <c:v>14→15</c:v>
                </c:pt>
                <c:pt idx="15">
                  <c:v>15→16</c:v>
                </c:pt>
                <c:pt idx="16">
                  <c:v>16→17</c:v>
                </c:pt>
                <c:pt idx="17">
                  <c:v>17→18</c:v>
                </c:pt>
                <c:pt idx="18">
                  <c:v>18→19</c:v>
                </c:pt>
                <c:pt idx="19">
                  <c:v>19→20</c:v>
                </c:pt>
              </c:strCache>
            </c:strRef>
          </c:cat>
          <c:val>
            <c:numRef>
              <c:f>LW!$F$145:$F$164</c:f>
              <c:numCache>
                <c:formatCode>0</c:formatCode>
                <c:ptCount val="20"/>
                <c:pt idx="0">
                  <c:v>88.142132707238943</c:v>
                </c:pt>
                <c:pt idx="1">
                  <c:v>130.8777122016578</c:v>
                </c:pt>
                <c:pt idx="2">
                  <c:v>200.32302888008849</c:v>
                </c:pt>
                <c:pt idx="3">
                  <c:v>237.716660937705</c:v>
                </c:pt>
                <c:pt idx="4">
                  <c:v>232.37471350090266</c:v>
                </c:pt>
                <c:pt idx="5">
                  <c:v>40.0646057760177</c:v>
                </c:pt>
                <c:pt idx="6">
                  <c:v>40.0646057760177</c:v>
                </c:pt>
                <c:pt idx="7">
                  <c:v>40.0646057760177</c:v>
                </c:pt>
                <c:pt idx="8">
                  <c:v>40.0646057760177</c:v>
                </c:pt>
                <c:pt idx="9">
                  <c:v>40.0646057760177</c:v>
                </c:pt>
                <c:pt idx="10">
                  <c:v>40.0646057760177</c:v>
                </c:pt>
                <c:pt idx="11">
                  <c:v>40.0646057760177</c:v>
                </c:pt>
                <c:pt idx="12">
                  <c:v>40.0646057760177</c:v>
                </c:pt>
                <c:pt idx="13">
                  <c:v>40.0646057760177</c:v>
                </c:pt>
                <c:pt idx="14">
                  <c:v>40.0646057760177</c:v>
                </c:pt>
                <c:pt idx="15">
                  <c:v>40.0646057760177</c:v>
                </c:pt>
                <c:pt idx="16">
                  <c:v>40.0646057760177</c:v>
                </c:pt>
                <c:pt idx="17">
                  <c:v>40.0646057760177</c:v>
                </c:pt>
                <c:pt idx="18">
                  <c:v>40.0646057760177</c:v>
                </c:pt>
                <c:pt idx="19">
                  <c:v>152.24550194886726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862-9035-47DC07FE0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4055311"/>
        <c:axId val="204053647"/>
      </c:barChart>
      <c:catAx>
        <c:axId val="204055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53647"/>
        <c:crosses val="autoZero"/>
        <c:auto val="1"/>
        <c:lblAlgn val="ctr"/>
        <c:lblOffset val="100"/>
        <c:noMultiLvlLbl val="0"/>
      </c:catAx>
      <c:valAx>
        <c:axId val="2040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Peso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553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Crew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DW!$L$9:$L$28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DW!$M$9:$M$28</c:f>
              <c:numCache>
                <c:formatCode>General</c:formatCode>
                <c:ptCount val="20"/>
                <c:pt idx="0">
                  <c:v>0.46749999999999986</c:v>
                </c:pt>
                <c:pt idx="1">
                  <c:v>0.82499999999999984</c:v>
                </c:pt>
                <c:pt idx="2">
                  <c:v>1.0174999999999998</c:v>
                </c:pt>
                <c:pt idx="3">
                  <c:v>0.98999999999999977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D-454D-98D5-FAFC27D06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Fresh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DW!$L$35:$L$54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DW!$N$35:$N$54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219.31529496683984</c:v>
                </c:pt>
                <c:pt idx="5">
                  <c:v>239.9503868825237</c:v>
                </c:pt>
                <c:pt idx="6">
                  <c:v>250.54670974476909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5-432C-B8F2-FE59CFB5E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Fuel, Oil and cooling water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DW!$L$61:$L$80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DW!$N$61:$N$80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400.58668609448796</c:v>
                </c:pt>
                <c:pt idx="5">
                  <c:v>438.27736831074111</c:v>
                </c:pt>
                <c:pt idx="6">
                  <c:v>457.63190471375822</c:v>
                </c:pt>
                <c:pt idx="7">
                  <c:v>262.96467514637533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3-4A8F-AC57-E4D79C576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Cargo Condition Ballast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DW!$A$95:$A$114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DW!$C$95:$C$114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235.78526256474638</c:v>
                </c:pt>
                <c:pt idx="9">
                  <c:v>157.22956679369963</c:v>
                </c:pt>
                <c:pt idx="10">
                  <c:v>235.90343781635255</c:v>
                </c:pt>
                <c:pt idx="11">
                  <c:v>78.654175147385217</c:v>
                </c:pt>
                <c:pt idx="12">
                  <c:v>78.56708139483905</c:v>
                </c:pt>
                <c:pt idx="13">
                  <c:v>78.044718033766429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52.069472755826006</c:v>
                </c:pt>
                <c:pt idx="18">
                  <c:v>68.618228818836201</c:v>
                </c:pt>
                <c:pt idx="19">
                  <c:v>87.155162709131943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6-46FB-A37E-5117DAD2E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Ballast Condition Weight Distribution </a:t>
            </a:r>
          </a:p>
        </c:rich>
      </c:tx>
      <c:layout>
        <c:manualLayout>
          <c:xMode val="edge"/>
          <c:yMode val="edge"/>
          <c:x val="0.32014637269248464"/>
          <c:y val="2.227687169574353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DW!$M$128:$M$147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DW!$O$128:$O$147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D-47DA-BA54-631AA6C83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Cargo Condition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DW!$A$128:$A$147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DW!$C$128:$C$147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1857.4825663454903</c:v>
                </c:pt>
                <c:pt idx="5">
                  <c:v>2032.2506940956089</c:v>
                </c:pt>
                <c:pt idx="6">
                  <c:v>2121.9958483811997</c:v>
                </c:pt>
                <c:pt idx="7">
                  <c:v>2155.029334776113</c:v>
                </c:pt>
                <c:pt idx="8">
                  <c:v>2161.5337073447658</c:v>
                </c:pt>
                <c:pt idx="9">
                  <c:v>2162.0753862159177</c:v>
                </c:pt>
                <c:pt idx="10">
                  <c:v>2162.6170650870699</c:v>
                </c:pt>
                <c:pt idx="11">
                  <c:v>2163.1587439582222</c:v>
                </c:pt>
                <c:pt idx="12">
                  <c:v>2160.76347870992</c:v>
                </c:pt>
                <c:pt idx="13">
                  <c:v>2146.3973643884578</c:v>
                </c:pt>
                <c:pt idx="14">
                  <c:v>2102.8879768749084</c:v>
                </c:pt>
                <c:pt idx="15">
                  <c:v>1994.2991728277659</c:v>
                </c:pt>
                <c:pt idx="16">
                  <c:v>1777.8665677746451</c:v>
                </c:pt>
                <c:pt idx="17">
                  <c:v>1432.0223316054173</c:v>
                </c:pt>
                <c:pt idx="18">
                  <c:v>943.57433274364507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B-4E80-B025-248E7ABCE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Cargo Condition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4.7460463381163651E-2"/>
          <c:y val="0.13891385767790265"/>
          <c:w val="0.9254667785816113"/>
          <c:h val="0.70621398448789408"/>
        </c:manualLayout>
      </c:layout>
      <c:barChart>
        <c:barDir val="col"/>
        <c:grouping val="stacked"/>
        <c:varyColors val="0"/>
        <c:ser>
          <c:idx val="0"/>
          <c:order val="0"/>
          <c:tx>
            <c:v>Cargo Weight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DW!$D$177:$D$196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DW!$C$128:$C$147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1857.4825663454903</c:v>
                </c:pt>
                <c:pt idx="5">
                  <c:v>2032.2506940956089</c:v>
                </c:pt>
                <c:pt idx="6">
                  <c:v>2121.9958483811997</c:v>
                </c:pt>
                <c:pt idx="7">
                  <c:v>2155.029334776113</c:v>
                </c:pt>
                <c:pt idx="8">
                  <c:v>2161.5337073447658</c:v>
                </c:pt>
                <c:pt idx="9">
                  <c:v>2162.0753862159177</c:v>
                </c:pt>
                <c:pt idx="10">
                  <c:v>2162.6170650870699</c:v>
                </c:pt>
                <c:pt idx="11">
                  <c:v>2163.1587439582222</c:v>
                </c:pt>
                <c:pt idx="12">
                  <c:v>2160.76347870992</c:v>
                </c:pt>
                <c:pt idx="13">
                  <c:v>2146.3973643884578</c:v>
                </c:pt>
                <c:pt idx="14">
                  <c:v>2102.8879768749084</c:v>
                </c:pt>
                <c:pt idx="15">
                  <c:v>1994.2991728277659</c:v>
                </c:pt>
                <c:pt idx="16">
                  <c:v>1777.8665677746451</c:v>
                </c:pt>
                <c:pt idx="17">
                  <c:v>1432.0223316054173</c:v>
                </c:pt>
                <c:pt idx="18">
                  <c:v>943.57433274364507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C-4919-BA51-3BFC27D965A2}"/>
            </c:ext>
          </c:extLst>
        </c:ser>
        <c:ser>
          <c:idx val="1"/>
          <c:order val="1"/>
          <c:tx>
            <c:v>Fuel, Oil and cooling water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DW!$D$177:$D$196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DW!$N$61:$N$80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400.58668609448796</c:v>
                </c:pt>
                <c:pt idx="5">
                  <c:v>438.27736831074111</c:v>
                </c:pt>
                <c:pt idx="6">
                  <c:v>457.63190471375822</c:v>
                </c:pt>
                <c:pt idx="7">
                  <c:v>262.96467514637533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C-4919-BA51-3BFC27D965A2}"/>
            </c:ext>
          </c:extLst>
        </c:ser>
        <c:ser>
          <c:idx val="3"/>
          <c:order val="2"/>
          <c:tx>
            <c:v>Fresh Water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DW!$D$177:$D$196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DW!$M$35:$M$54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219.31529496683984</c:v>
                </c:pt>
                <c:pt idx="5">
                  <c:v>239.9503868825237</c:v>
                </c:pt>
                <c:pt idx="6">
                  <c:v>250.54670974476909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DC-4919-BA51-3BFC27D965A2}"/>
            </c:ext>
          </c:extLst>
        </c:ser>
        <c:ser>
          <c:idx val="2"/>
          <c:order val="3"/>
          <c:tx>
            <c:v>Crew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DW!$D$177:$D$196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DW!$M$9:$M$28</c:f>
              <c:numCache>
                <c:formatCode>General</c:formatCode>
                <c:ptCount val="20"/>
                <c:pt idx="0">
                  <c:v>0.46749999999999986</c:v>
                </c:pt>
                <c:pt idx="1">
                  <c:v>0.82499999999999984</c:v>
                </c:pt>
                <c:pt idx="2">
                  <c:v>1.0174999999999998</c:v>
                </c:pt>
                <c:pt idx="3">
                  <c:v>0.98999999999999977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DC-4919-BA51-3BFC27D965A2}"/>
            </c:ext>
          </c:extLst>
        </c:ser>
        <c:ser>
          <c:idx val="4"/>
          <c:order val="4"/>
          <c:tx>
            <c:strRef>
              <c:f>DW!$A$83</c:f>
              <c:strCache>
                <c:ptCount val="1"/>
                <c:pt idx="0">
                  <c:v>Ballast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DW!$D$177:$D$196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DW!$C$95:$C$114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235.78526256474638</c:v>
                </c:pt>
                <c:pt idx="9">
                  <c:v>157.22956679369963</c:v>
                </c:pt>
                <c:pt idx="10">
                  <c:v>235.90343781635255</c:v>
                </c:pt>
                <c:pt idx="11">
                  <c:v>78.654175147385217</c:v>
                </c:pt>
                <c:pt idx="12">
                  <c:v>78.56708139483905</c:v>
                </c:pt>
                <c:pt idx="13">
                  <c:v>78.044718033766429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52.069472755826006</c:v>
                </c:pt>
                <c:pt idx="18">
                  <c:v>68.618228818836201</c:v>
                </c:pt>
                <c:pt idx="19">
                  <c:v>87.155162709131943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1-447E-8351-588DCDA0C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89265696756462"/>
          <c:y val="9.6364889396054268E-2"/>
          <c:w val="0.17758474234243898"/>
          <c:h val="0.32633084954374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Ballast Condition Weight Distribution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3524802679224194E-2"/>
          <c:y val="0.14654811145973173"/>
          <c:w val="0.8717246944625211"/>
          <c:h val="0.68611731178764601"/>
        </c:manualLayout>
      </c:layout>
      <c:barChart>
        <c:barDir val="col"/>
        <c:grouping val="stacked"/>
        <c:varyColors val="0"/>
        <c:ser>
          <c:idx val="0"/>
          <c:order val="0"/>
          <c:tx>
            <c:v>Ballast</c:v>
          </c:tx>
          <c:invertIfNegative val="0"/>
          <c:cat>
            <c:strRef>
              <c:f>DW!$P$177:$P$196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DW!$N$95:$N$114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2159.8634492389424</c:v>
                </c:pt>
                <c:pt idx="5">
                  <c:v>2363.0822024367544</c:v>
                </c:pt>
                <c:pt idx="6">
                  <c:v>0</c:v>
                </c:pt>
                <c:pt idx="7">
                  <c:v>489.08802272501248</c:v>
                </c:pt>
                <c:pt idx="8">
                  <c:v>3310.6712608313283</c:v>
                </c:pt>
                <c:pt idx="9">
                  <c:v>3311.5009127887452</c:v>
                </c:pt>
                <c:pt idx="10">
                  <c:v>797.65955883096581</c:v>
                </c:pt>
                <c:pt idx="11">
                  <c:v>797.8593516358809</c:v>
                </c:pt>
                <c:pt idx="12">
                  <c:v>3309.4915550525157</c:v>
                </c:pt>
                <c:pt idx="13">
                  <c:v>3186.1168432141603</c:v>
                </c:pt>
                <c:pt idx="14">
                  <c:v>527.33846582976457</c:v>
                </c:pt>
                <c:pt idx="15">
                  <c:v>212.2369949972184</c:v>
                </c:pt>
                <c:pt idx="16">
                  <c:v>2319.5447008371498</c:v>
                </c:pt>
                <c:pt idx="17">
                  <c:v>1892.3274289222795</c:v>
                </c:pt>
                <c:pt idx="18">
                  <c:v>1246.8741245648621</c:v>
                </c:pt>
                <c:pt idx="19">
                  <c:v>53.793047857998801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0-4D8F-B599-99B60A0F3338}"/>
            </c:ext>
          </c:extLst>
        </c:ser>
        <c:ser>
          <c:idx val="1"/>
          <c:order val="1"/>
          <c:tx>
            <c:v>Fuel, Oil and cooling water</c:v>
          </c:tx>
          <c:invertIfNegative val="0"/>
          <c:cat>
            <c:strRef>
              <c:f>DW!$P$177:$P$196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DW!$M$61:$M$80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465.79847220289298</c:v>
                </c:pt>
                <c:pt idx="5">
                  <c:v>509.62484687295478</c:v>
                </c:pt>
                <c:pt idx="6">
                  <c:v>532.13012176018401</c:v>
                </c:pt>
                <c:pt idx="7">
                  <c:v>305.77287807718062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80-4D8F-B599-99B60A0F3338}"/>
            </c:ext>
          </c:extLst>
        </c:ser>
        <c:ser>
          <c:idx val="3"/>
          <c:order val="2"/>
          <c:tx>
            <c:v>Fresh Water</c:v>
          </c:tx>
          <c:invertIfNegative val="0"/>
          <c:cat>
            <c:strRef>
              <c:f>DW!$P$177:$P$196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DW!$M$35:$M$54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219.31529496683984</c:v>
                </c:pt>
                <c:pt idx="5">
                  <c:v>239.9503868825237</c:v>
                </c:pt>
                <c:pt idx="6">
                  <c:v>250.54670974476909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80-4D8F-B599-99B60A0F3338}"/>
            </c:ext>
          </c:extLst>
        </c:ser>
        <c:ser>
          <c:idx val="2"/>
          <c:order val="3"/>
          <c:tx>
            <c:v>Crew</c:v>
          </c:tx>
          <c:spPr>
            <a:solidFill>
              <a:schemeClr val="accent5"/>
            </a:solidFill>
          </c:spPr>
          <c:invertIfNegative val="0"/>
          <c:cat>
            <c:strRef>
              <c:f>DW!$P$177:$P$196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DW!$M$9:$M$28</c:f>
              <c:numCache>
                <c:formatCode>General</c:formatCode>
                <c:ptCount val="20"/>
                <c:pt idx="0">
                  <c:v>0.46749999999999986</c:v>
                </c:pt>
                <c:pt idx="1">
                  <c:v>0.82499999999999984</c:v>
                </c:pt>
                <c:pt idx="2">
                  <c:v>1.0174999999999998</c:v>
                </c:pt>
                <c:pt idx="3">
                  <c:v>0.98999999999999977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80-4D8F-B599-99B60A0F3338}"/>
            </c:ext>
          </c:extLst>
        </c:ser>
        <c:ser>
          <c:idx val="4"/>
          <c:order val="4"/>
          <c:tx>
            <c:strRef>
              <c:f>DW!$A$117</c:f>
              <c:strCache>
                <c:ptCount val="1"/>
                <c:pt idx="0">
                  <c:v>Cargo Weight 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val>
            <c:numRef>
              <c:f>DW!$N$128:$N$147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B-43DF-BD2A-708F2AE1B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9460448"/>
        <c:axId val="1109466688"/>
      </c:barChart>
      <c:catAx>
        <c:axId val="11094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6688"/>
        <c:crosses val="autoZero"/>
        <c:auto val="1"/>
        <c:lblAlgn val="ctr"/>
        <c:lblOffset val="100"/>
        <c:noMultiLvlLbl val="0"/>
      </c:catAx>
      <c:valAx>
        <c:axId val="11094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09460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920709904633868"/>
          <c:y val="7.6749666719037532E-2"/>
          <c:w val="0.18626357338570046"/>
          <c:h val="0.34872374697974101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Ballast Condition Ballast Weight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DW!$M$95:$M$114</c:f>
              <c:strCache>
                <c:ptCount val="20"/>
                <c:pt idx="0">
                  <c:v>AP-S1</c:v>
                </c:pt>
                <c:pt idx="1">
                  <c:v>S1-S2</c:v>
                </c:pt>
                <c:pt idx="2">
                  <c:v>S2-S3</c:v>
                </c:pt>
                <c:pt idx="3">
                  <c:v>S3-S4</c:v>
                </c:pt>
                <c:pt idx="4">
                  <c:v>S4-S5</c:v>
                </c:pt>
                <c:pt idx="5">
                  <c:v>S5-S6</c:v>
                </c:pt>
                <c:pt idx="6">
                  <c:v>S6-S7</c:v>
                </c:pt>
                <c:pt idx="7">
                  <c:v>S7-S8</c:v>
                </c:pt>
                <c:pt idx="8">
                  <c:v>S8-S9</c:v>
                </c:pt>
                <c:pt idx="9">
                  <c:v>S9-S10</c:v>
                </c:pt>
                <c:pt idx="10">
                  <c:v>S10-S11</c:v>
                </c:pt>
                <c:pt idx="11">
                  <c:v>S11-S12</c:v>
                </c:pt>
                <c:pt idx="12">
                  <c:v>S12-S13</c:v>
                </c:pt>
                <c:pt idx="13">
                  <c:v>S13-S14</c:v>
                </c:pt>
                <c:pt idx="14">
                  <c:v>S14-S15</c:v>
                </c:pt>
                <c:pt idx="15">
                  <c:v>S15-S16</c:v>
                </c:pt>
                <c:pt idx="16">
                  <c:v>S16-S17</c:v>
                </c:pt>
                <c:pt idx="17">
                  <c:v>S17-S18</c:v>
                </c:pt>
                <c:pt idx="18">
                  <c:v>S18-S19</c:v>
                </c:pt>
                <c:pt idx="19">
                  <c:v>S19-S20</c:v>
                </c:pt>
              </c:strCache>
            </c:strRef>
          </c:cat>
          <c:val>
            <c:numRef>
              <c:f>DW!$O$95:$O$114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2213.8600354699156</c:v>
                </c:pt>
                <c:pt idx="5">
                  <c:v>2422.159257497673</c:v>
                </c:pt>
                <c:pt idx="6">
                  <c:v>0</c:v>
                </c:pt>
                <c:pt idx="7">
                  <c:v>501.31522329313776</c:v>
                </c:pt>
                <c:pt idx="8">
                  <c:v>3393.4380423521111</c:v>
                </c:pt>
                <c:pt idx="9">
                  <c:v>3394.2884356084637</c:v>
                </c:pt>
                <c:pt idx="10">
                  <c:v>817.60104780173992</c:v>
                </c:pt>
                <c:pt idx="11">
                  <c:v>817.80583542677789</c:v>
                </c:pt>
                <c:pt idx="12">
                  <c:v>3392.2288439288282</c:v>
                </c:pt>
                <c:pt idx="13">
                  <c:v>3265.7697642945141</c:v>
                </c:pt>
                <c:pt idx="14">
                  <c:v>540.52192747550862</c:v>
                </c:pt>
                <c:pt idx="15">
                  <c:v>217.54291987214884</c:v>
                </c:pt>
                <c:pt idx="16">
                  <c:v>2377.5333183580783</c:v>
                </c:pt>
                <c:pt idx="17">
                  <c:v>1939.6356146453363</c:v>
                </c:pt>
                <c:pt idx="18">
                  <c:v>1278.0459776789835</c:v>
                </c:pt>
                <c:pt idx="19">
                  <c:v>55.137874054448766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9-4DBE-83BC-6E52FC4D9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042239"/>
        <c:axId val="1439044159"/>
      </c:barChart>
      <c:catAx>
        <c:axId val="143904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9044159"/>
        <c:crosses val="autoZero"/>
        <c:auto val="1"/>
        <c:lblAlgn val="ctr"/>
        <c:lblOffset val="100"/>
        <c:noMultiLvlLbl val="0"/>
      </c:catAx>
      <c:valAx>
        <c:axId val="14390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904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LW + DW (Ballast</a:t>
            </a:r>
            <a:r>
              <a:rPr lang="pt-PT" baseline="0"/>
              <a:t> Condition</a:t>
            </a:r>
            <a:r>
              <a:rPr lang="pt-PT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LW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'DW + LW'!$B$5:$B$24</c:f>
              <c:strCache>
                <c:ptCount val="20"/>
                <c:pt idx="0">
                  <c:v>[AP-S1]</c:v>
                </c:pt>
                <c:pt idx="1">
                  <c:v>[S1-S2]</c:v>
                </c:pt>
                <c:pt idx="2">
                  <c:v>[S2-S3]</c:v>
                </c:pt>
                <c:pt idx="3">
                  <c:v>[S3-S4]</c:v>
                </c:pt>
                <c:pt idx="4">
                  <c:v>[S4-S5]</c:v>
                </c:pt>
                <c:pt idx="5">
                  <c:v>[S5-S6]</c:v>
                </c:pt>
                <c:pt idx="6">
                  <c:v>[S6-S7]</c:v>
                </c:pt>
                <c:pt idx="7">
                  <c:v>[S7-S8]</c:v>
                </c:pt>
                <c:pt idx="8">
                  <c:v>[S8-S9]</c:v>
                </c:pt>
                <c:pt idx="9">
                  <c:v>[S9-S10]</c:v>
                </c:pt>
                <c:pt idx="10">
                  <c:v>[S10-S11]</c:v>
                </c:pt>
                <c:pt idx="11">
                  <c:v>[S11-S12]</c:v>
                </c:pt>
                <c:pt idx="12">
                  <c:v>[S12-S13]</c:v>
                </c:pt>
                <c:pt idx="13">
                  <c:v>[S13-S14]</c:v>
                </c:pt>
                <c:pt idx="14">
                  <c:v>[S14-S15]</c:v>
                </c:pt>
                <c:pt idx="15">
                  <c:v>[S15-S16]</c:v>
                </c:pt>
                <c:pt idx="16">
                  <c:v>[S16-S17]</c:v>
                </c:pt>
                <c:pt idx="17">
                  <c:v>[S17-S18]</c:v>
                </c:pt>
                <c:pt idx="18">
                  <c:v>[S18-S19]</c:v>
                </c:pt>
                <c:pt idx="19">
                  <c:v>[S19-FP]</c:v>
                </c:pt>
              </c:strCache>
            </c:strRef>
          </c:cat>
          <c:val>
            <c:numRef>
              <c:f>'DW + LW'!$C$5:$C$24</c:f>
              <c:numCache>
                <c:formatCode>0.000</c:formatCode>
                <c:ptCount val="20"/>
                <c:pt idx="0">
                  <c:v>412.22736461084173</c:v>
                </c:pt>
                <c:pt idx="1">
                  <c:v>737.13688161475864</c:v>
                </c:pt>
                <c:pt idx="2">
                  <c:v>1026.9067667418924</c:v>
                </c:pt>
                <c:pt idx="3">
                  <c:v>980.0413833308728</c:v>
                </c:pt>
                <c:pt idx="4">
                  <c:v>525.70292784950948</c:v>
                </c:pt>
                <c:pt idx="5">
                  <c:v>351.13016151642341</c:v>
                </c:pt>
                <c:pt idx="6">
                  <c:v>368.86750290822238</c:v>
                </c:pt>
                <c:pt idx="7">
                  <c:v>386.60484430002134</c:v>
                </c:pt>
                <c:pt idx="8">
                  <c:v>404.34218569182053</c:v>
                </c:pt>
                <c:pt idx="9">
                  <c:v>404.34218569182053</c:v>
                </c:pt>
                <c:pt idx="10">
                  <c:v>404.34218569182053</c:v>
                </c:pt>
                <c:pt idx="11">
                  <c:v>404.34218569182053</c:v>
                </c:pt>
                <c:pt idx="12">
                  <c:v>404.34218569182053</c:v>
                </c:pt>
                <c:pt idx="13">
                  <c:v>404.34218569182053</c:v>
                </c:pt>
                <c:pt idx="14">
                  <c:v>374.77351034147102</c:v>
                </c:pt>
                <c:pt idx="15">
                  <c:v>345.20483499112146</c:v>
                </c:pt>
                <c:pt idx="16">
                  <c:v>315.63615964077189</c:v>
                </c:pt>
                <c:pt idx="17">
                  <c:v>286.06748429042233</c:v>
                </c:pt>
                <c:pt idx="18">
                  <c:v>283.78671618644961</c:v>
                </c:pt>
                <c:pt idx="19">
                  <c:v>350.86872251619593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3-4828-964D-494241D3051B}"/>
            </c:ext>
          </c:extLst>
        </c:ser>
        <c:ser>
          <c:idx val="0"/>
          <c:order val="1"/>
          <c:tx>
            <c:v>DW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'DW + LW'!$B$5:$B$24</c:f>
              <c:strCache>
                <c:ptCount val="20"/>
                <c:pt idx="0">
                  <c:v>[AP-S1]</c:v>
                </c:pt>
                <c:pt idx="1">
                  <c:v>[S1-S2]</c:v>
                </c:pt>
                <c:pt idx="2">
                  <c:v>[S2-S3]</c:v>
                </c:pt>
                <c:pt idx="3">
                  <c:v>[S3-S4]</c:v>
                </c:pt>
                <c:pt idx="4">
                  <c:v>[S4-S5]</c:v>
                </c:pt>
                <c:pt idx="5">
                  <c:v>[S5-S6]</c:v>
                </c:pt>
                <c:pt idx="6">
                  <c:v>[S6-S7]</c:v>
                </c:pt>
                <c:pt idx="7">
                  <c:v>[S7-S8]</c:v>
                </c:pt>
                <c:pt idx="8">
                  <c:v>[S8-S9]</c:v>
                </c:pt>
                <c:pt idx="9">
                  <c:v>[S9-S10]</c:v>
                </c:pt>
                <c:pt idx="10">
                  <c:v>[S10-S11]</c:v>
                </c:pt>
                <c:pt idx="11">
                  <c:v>[S11-S12]</c:v>
                </c:pt>
                <c:pt idx="12">
                  <c:v>[S12-S13]</c:v>
                </c:pt>
                <c:pt idx="13">
                  <c:v>[S13-S14]</c:v>
                </c:pt>
                <c:pt idx="14">
                  <c:v>[S14-S15]</c:v>
                </c:pt>
                <c:pt idx="15">
                  <c:v>[S15-S16]</c:v>
                </c:pt>
                <c:pt idx="16">
                  <c:v>[S16-S17]</c:v>
                </c:pt>
                <c:pt idx="17">
                  <c:v>[S17-S18]</c:v>
                </c:pt>
                <c:pt idx="18">
                  <c:v>[S18-S19]</c:v>
                </c:pt>
                <c:pt idx="19">
                  <c:v>[S19-FP]</c:v>
                </c:pt>
              </c:strCache>
            </c:strRef>
          </c:cat>
          <c:val>
            <c:numRef>
              <c:f>'DW + LW'!$D$5:$D$24</c:f>
              <c:numCache>
                <c:formatCode>0.000</c:formatCode>
                <c:ptCount val="20"/>
                <c:pt idx="0">
                  <c:v>0.46749999999999986</c:v>
                </c:pt>
                <c:pt idx="1">
                  <c:v>0.82499999999999984</c:v>
                </c:pt>
                <c:pt idx="2">
                  <c:v>1.0174999999999998</c:v>
                </c:pt>
                <c:pt idx="3">
                  <c:v>0.98999999999999977</c:v>
                </c:pt>
                <c:pt idx="4">
                  <c:v>2833.7620165312433</c:v>
                </c:pt>
                <c:pt idx="5">
                  <c:v>3100.3870126909378</c:v>
                </c:pt>
                <c:pt idx="6">
                  <c:v>708.17861445852736</c:v>
                </c:pt>
                <c:pt idx="7">
                  <c:v>764.27989843951309</c:v>
                </c:pt>
                <c:pt idx="8">
                  <c:v>3393.4380423521111</c:v>
                </c:pt>
                <c:pt idx="9">
                  <c:v>3394.2884356084637</c:v>
                </c:pt>
                <c:pt idx="10">
                  <c:v>817.60104780173992</c:v>
                </c:pt>
                <c:pt idx="11">
                  <c:v>817.80583542677789</c:v>
                </c:pt>
                <c:pt idx="12">
                  <c:v>3392.2288439288282</c:v>
                </c:pt>
                <c:pt idx="13">
                  <c:v>3265.7697642945141</c:v>
                </c:pt>
                <c:pt idx="14">
                  <c:v>540.52192747550862</c:v>
                </c:pt>
                <c:pt idx="15">
                  <c:v>217.54291987214884</c:v>
                </c:pt>
                <c:pt idx="16">
                  <c:v>2377.5333183580783</c:v>
                </c:pt>
                <c:pt idx="17">
                  <c:v>1939.6356146453363</c:v>
                </c:pt>
                <c:pt idx="18">
                  <c:v>1278.0459776789835</c:v>
                </c:pt>
                <c:pt idx="19">
                  <c:v>55.137874054448766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3-4828-964D-494241D30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4131551"/>
        <c:axId val="1396481951"/>
      </c:barChart>
      <c:catAx>
        <c:axId val="175413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6481951"/>
        <c:crosses val="autoZero"/>
        <c:auto val="1"/>
        <c:lblAlgn val="ctr"/>
        <c:lblOffset val="100"/>
        <c:noMultiLvlLbl val="0"/>
      </c:catAx>
      <c:valAx>
        <c:axId val="139648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413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LW + DW</a:t>
            </a:r>
            <a:r>
              <a:rPr lang="pt-PT" baseline="0"/>
              <a:t> (Cargo Condition)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LW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'DW + LW'!$B$29:$B$48</c:f>
              <c:strCache>
                <c:ptCount val="20"/>
                <c:pt idx="0">
                  <c:v>[AP-S1]</c:v>
                </c:pt>
                <c:pt idx="1">
                  <c:v>[S1-S2]</c:v>
                </c:pt>
                <c:pt idx="2">
                  <c:v>[S2-S3]</c:v>
                </c:pt>
                <c:pt idx="3">
                  <c:v>[S3-S4]</c:v>
                </c:pt>
                <c:pt idx="4">
                  <c:v>[S4-S5]</c:v>
                </c:pt>
                <c:pt idx="5">
                  <c:v>[S5-S6]</c:v>
                </c:pt>
                <c:pt idx="6">
                  <c:v>[S6-S7]</c:v>
                </c:pt>
                <c:pt idx="7">
                  <c:v>[S7-S8]</c:v>
                </c:pt>
                <c:pt idx="8">
                  <c:v>[S8-S9]</c:v>
                </c:pt>
                <c:pt idx="9">
                  <c:v>[S9-S10]</c:v>
                </c:pt>
                <c:pt idx="10">
                  <c:v>[S10-S11]</c:v>
                </c:pt>
                <c:pt idx="11">
                  <c:v>[S11-S12]</c:v>
                </c:pt>
                <c:pt idx="12">
                  <c:v>[S12-S13]</c:v>
                </c:pt>
                <c:pt idx="13">
                  <c:v>[S13-S14]</c:v>
                </c:pt>
                <c:pt idx="14">
                  <c:v>[S14-S15]</c:v>
                </c:pt>
                <c:pt idx="15">
                  <c:v>[S15-S16]</c:v>
                </c:pt>
                <c:pt idx="16">
                  <c:v>[S16-S17]</c:v>
                </c:pt>
                <c:pt idx="17">
                  <c:v>[S17-S18]</c:v>
                </c:pt>
                <c:pt idx="18">
                  <c:v>[S18-S19]</c:v>
                </c:pt>
                <c:pt idx="19">
                  <c:v>[S19-FP]</c:v>
                </c:pt>
              </c:strCache>
            </c:strRef>
          </c:cat>
          <c:val>
            <c:numRef>
              <c:f>'DW + LW'!$C$29:$C$48</c:f>
              <c:numCache>
                <c:formatCode>0.000</c:formatCode>
                <c:ptCount val="20"/>
                <c:pt idx="0">
                  <c:v>412.22736461084173</c:v>
                </c:pt>
                <c:pt idx="1">
                  <c:v>737.13688161475864</c:v>
                </c:pt>
                <c:pt idx="2">
                  <c:v>1026.9067667418924</c:v>
                </c:pt>
                <c:pt idx="3">
                  <c:v>980.0413833308728</c:v>
                </c:pt>
                <c:pt idx="4">
                  <c:v>525.70292784950948</c:v>
                </c:pt>
                <c:pt idx="5">
                  <c:v>351.13016151642341</c:v>
                </c:pt>
                <c:pt idx="6">
                  <c:v>368.86750290822238</c:v>
                </c:pt>
                <c:pt idx="7">
                  <c:v>386.60484430002134</c:v>
                </c:pt>
                <c:pt idx="8">
                  <c:v>404.34218569182053</c:v>
                </c:pt>
                <c:pt idx="9">
                  <c:v>404.34218569182053</c:v>
                </c:pt>
                <c:pt idx="10">
                  <c:v>404.34218569182053</c:v>
                </c:pt>
                <c:pt idx="11">
                  <c:v>404.34218569182053</c:v>
                </c:pt>
                <c:pt idx="12">
                  <c:v>404.34218569182053</c:v>
                </c:pt>
                <c:pt idx="13">
                  <c:v>404.34218569182053</c:v>
                </c:pt>
                <c:pt idx="14">
                  <c:v>374.77351034147102</c:v>
                </c:pt>
                <c:pt idx="15">
                  <c:v>345.20483499112146</c:v>
                </c:pt>
                <c:pt idx="16">
                  <c:v>315.63615964077189</c:v>
                </c:pt>
                <c:pt idx="17">
                  <c:v>286.06748429042233</c:v>
                </c:pt>
                <c:pt idx="18">
                  <c:v>283.78671618644961</c:v>
                </c:pt>
                <c:pt idx="19">
                  <c:v>350.86872251619593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F-407A-8077-4BA69DEEFE15}"/>
            </c:ext>
          </c:extLst>
        </c:ser>
        <c:ser>
          <c:idx val="1"/>
          <c:order val="1"/>
          <c:tx>
            <c:v>DW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'DW + LW'!$B$29:$B$48</c:f>
              <c:strCache>
                <c:ptCount val="20"/>
                <c:pt idx="0">
                  <c:v>[AP-S1]</c:v>
                </c:pt>
                <c:pt idx="1">
                  <c:v>[S1-S2]</c:v>
                </c:pt>
                <c:pt idx="2">
                  <c:v>[S2-S3]</c:v>
                </c:pt>
                <c:pt idx="3">
                  <c:v>[S3-S4]</c:v>
                </c:pt>
                <c:pt idx="4">
                  <c:v>[S4-S5]</c:v>
                </c:pt>
                <c:pt idx="5">
                  <c:v>[S5-S6]</c:v>
                </c:pt>
                <c:pt idx="6">
                  <c:v>[S6-S7]</c:v>
                </c:pt>
                <c:pt idx="7">
                  <c:v>[S7-S8]</c:v>
                </c:pt>
                <c:pt idx="8">
                  <c:v>[S8-S9]</c:v>
                </c:pt>
                <c:pt idx="9">
                  <c:v>[S9-S10]</c:v>
                </c:pt>
                <c:pt idx="10">
                  <c:v>[S10-S11]</c:v>
                </c:pt>
                <c:pt idx="11">
                  <c:v>[S11-S12]</c:v>
                </c:pt>
                <c:pt idx="12">
                  <c:v>[S12-S13]</c:v>
                </c:pt>
                <c:pt idx="13">
                  <c:v>[S13-S14]</c:v>
                </c:pt>
                <c:pt idx="14">
                  <c:v>[S14-S15]</c:v>
                </c:pt>
                <c:pt idx="15">
                  <c:v>[S15-S16]</c:v>
                </c:pt>
                <c:pt idx="16">
                  <c:v>[S16-S17]</c:v>
                </c:pt>
                <c:pt idx="17">
                  <c:v>[S17-S18]</c:v>
                </c:pt>
                <c:pt idx="18">
                  <c:v>[S18-S19]</c:v>
                </c:pt>
                <c:pt idx="19">
                  <c:v>[S19-FP]</c:v>
                </c:pt>
              </c:strCache>
            </c:strRef>
          </c:cat>
          <c:val>
            <c:numRef>
              <c:f>'DW + LW'!$D$29:$D$48</c:f>
              <c:numCache>
                <c:formatCode>0.000</c:formatCode>
                <c:ptCount val="20"/>
                <c:pt idx="0">
                  <c:v>0.46749999999999986</c:v>
                </c:pt>
                <c:pt idx="1">
                  <c:v>0.82499999999999984</c:v>
                </c:pt>
                <c:pt idx="2">
                  <c:v>1.0174999999999998</c:v>
                </c:pt>
                <c:pt idx="3">
                  <c:v>0.98999999999999977</c:v>
                </c:pt>
                <c:pt idx="4">
                  <c:v>2477.384547406818</c:v>
                </c:pt>
                <c:pt idx="5">
                  <c:v>2710.4784492888734</c:v>
                </c:pt>
                <c:pt idx="6">
                  <c:v>2830.1744628397269</c:v>
                </c:pt>
                <c:pt idx="7">
                  <c:v>2417.9940099224882</c:v>
                </c:pt>
                <c:pt idx="8">
                  <c:v>2397.3189699095124</c:v>
                </c:pt>
                <c:pt idx="9">
                  <c:v>2319.3049530096173</c:v>
                </c:pt>
                <c:pt idx="10">
                  <c:v>2398.5205029034223</c:v>
                </c:pt>
                <c:pt idx="11">
                  <c:v>2241.8129191056073</c:v>
                </c:pt>
                <c:pt idx="12">
                  <c:v>2239.3305601047591</c:v>
                </c:pt>
                <c:pt idx="13">
                  <c:v>2224.4420824222243</c:v>
                </c:pt>
                <c:pt idx="14">
                  <c:v>2102.8879768749084</c:v>
                </c:pt>
                <c:pt idx="15">
                  <c:v>1994.2991728277659</c:v>
                </c:pt>
                <c:pt idx="16">
                  <c:v>1777.8665677746451</c:v>
                </c:pt>
                <c:pt idx="17">
                  <c:v>1484.0918043612432</c:v>
                </c:pt>
                <c:pt idx="18">
                  <c:v>1012.1925615624813</c:v>
                </c:pt>
                <c:pt idx="19">
                  <c:v>87.155162709131943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7F-407A-8077-4BA69DEEF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9942447"/>
        <c:axId val="1735518751"/>
      </c:barChart>
      <c:catAx>
        <c:axId val="188994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35518751"/>
        <c:crosses val="autoZero"/>
        <c:auto val="1"/>
        <c:lblAlgn val="ctr"/>
        <c:lblOffset val="100"/>
        <c:noMultiLvlLbl val="0"/>
      </c:catAx>
      <c:valAx>
        <c:axId val="173551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8994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Buoyancy For Cargo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2307718661558658E-2"/>
          <c:y val="4.9454075854835119E-2"/>
          <c:w val="0.9321529122857678"/>
          <c:h val="0.8466102363918985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Cargo'!$B$11:$B$31</c:f>
              <c:numCache>
                <c:formatCode>General</c:formatCode>
                <c:ptCount val="21"/>
                <c:pt idx="0">
                  <c:v>10.5</c:v>
                </c:pt>
                <c:pt idx="1">
                  <c:v>10.5</c:v>
                </c:pt>
                <c:pt idx="2">
                  <c:v>10.5</c:v>
                </c:pt>
                <c:pt idx="3">
                  <c:v>10.5</c:v>
                </c:pt>
                <c:pt idx="4">
                  <c:v>10.5</c:v>
                </c:pt>
                <c:pt idx="5">
                  <c:v>10.5</c:v>
                </c:pt>
                <c:pt idx="6">
                  <c:v>10.5</c:v>
                </c:pt>
                <c:pt idx="7">
                  <c:v>10.5</c:v>
                </c:pt>
                <c:pt idx="8">
                  <c:v>10.5</c:v>
                </c:pt>
                <c:pt idx="9">
                  <c:v>10.5</c:v>
                </c:pt>
                <c:pt idx="10">
                  <c:v>10.5</c:v>
                </c:pt>
                <c:pt idx="11">
                  <c:v>10.5</c:v>
                </c:pt>
                <c:pt idx="12">
                  <c:v>10.5</c:v>
                </c:pt>
                <c:pt idx="13">
                  <c:v>10.5</c:v>
                </c:pt>
                <c:pt idx="14">
                  <c:v>10.5</c:v>
                </c:pt>
                <c:pt idx="15">
                  <c:v>10.5</c:v>
                </c:pt>
                <c:pt idx="16">
                  <c:v>10.5</c:v>
                </c:pt>
                <c:pt idx="17">
                  <c:v>10.5</c:v>
                </c:pt>
                <c:pt idx="18">
                  <c:v>10.5</c:v>
                </c:pt>
                <c:pt idx="19">
                  <c:v>10.5</c:v>
                </c:pt>
                <c:pt idx="20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A-4DCD-9751-F0A7F0D9C0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Cargo'!$C$11:$C$31</c:f>
              <c:numCache>
                <c:formatCode>0.000000</c:formatCode>
                <c:ptCount val="21"/>
                <c:pt idx="0">
                  <c:v>11.312755762206715</c:v>
                </c:pt>
                <c:pt idx="1">
                  <c:v>11.295007524960337</c:v>
                </c:pt>
                <c:pt idx="2">
                  <c:v>11.277259287713958</c:v>
                </c:pt>
                <c:pt idx="3">
                  <c:v>11.25951105046758</c:v>
                </c:pt>
                <c:pt idx="4">
                  <c:v>11.241762813221202</c:v>
                </c:pt>
                <c:pt idx="5">
                  <c:v>11.224014575974824</c:v>
                </c:pt>
                <c:pt idx="6">
                  <c:v>11.206266338728446</c:v>
                </c:pt>
                <c:pt idx="7">
                  <c:v>11.188518101482067</c:v>
                </c:pt>
                <c:pt idx="8">
                  <c:v>11.170769864235689</c:v>
                </c:pt>
                <c:pt idx="9">
                  <c:v>11.153021626989311</c:v>
                </c:pt>
                <c:pt idx="10">
                  <c:v>11.135273389742933</c:v>
                </c:pt>
                <c:pt idx="11">
                  <c:v>11.117525152496555</c:v>
                </c:pt>
                <c:pt idx="12">
                  <c:v>11.099776915250176</c:v>
                </c:pt>
                <c:pt idx="13">
                  <c:v>11.082028678003798</c:v>
                </c:pt>
                <c:pt idx="14">
                  <c:v>11.06428044075742</c:v>
                </c:pt>
                <c:pt idx="15">
                  <c:v>11.046532203511042</c:v>
                </c:pt>
                <c:pt idx="16">
                  <c:v>11.028783966264664</c:v>
                </c:pt>
                <c:pt idx="17">
                  <c:v>11.011035729018285</c:v>
                </c:pt>
                <c:pt idx="18">
                  <c:v>10.993287491771907</c:v>
                </c:pt>
                <c:pt idx="19">
                  <c:v>10.975539254525529</c:v>
                </c:pt>
                <c:pt idx="20">
                  <c:v>10.957791017279151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A-4DCD-9751-F0A7F0D9C0D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Cargo'!$D$11:$D$31</c:f>
              <c:numCache>
                <c:formatCode>0.00</c:formatCode>
                <c:ptCount val="21"/>
                <c:pt idx="0">
                  <c:v>11.87</c:v>
                </c:pt>
                <c:pt idx="1">
                  <c:v>11.87</c:v>
                </c:pt>
                <c:pt idx="2">
                  <c:v>11.87</c:v>
                </c:pt>
                <c:pt idx="3">
                  <c:v>11.87</c:v>
                </c:pt>
                <c:pt idx="4">
                  <c:v>11.87</c:v>
                </c:pt>
                <c:pt idx="5">
                  <c:v>11.87</c:v>
                </c:pt>
                <c:pt idx="6">
                  <c:v>11.87</c:v>
                </c:pt>
                <c:pt idx="7">
                  <c:v>11.87</c:v>
                </c:pt>
                <c:pt idx="8">
                  <c:v>11.87</c:v>
                </c:pt>
                <c:pt idx="9">
                  <c:v>11.87</c:v>
                </c:pt>
                <c:pt idx="10">
                  <c:v>11.87</c:v>
                </c:pt>
                <c:pt idx="11">
                  <c:v>11.87</c:v>
                </c:pt>
                <c:pt idx="12">
                  <c:v>11.87</c:v>
                </c:pt>
                <c:pt idx="13">
                  <c:v>11.87</c:v>
                </c:pt>
                <c:pt idx="14">
                  <c:v>11.87</c:v>
                </c:pt>
                <c:pt idx="15">
                  <c:v>11.87</c:v>
                </c:pt>
                <c:pt idx="16">
                  <c:v>11.87</c:v>
                </c:pt>
                <c:pt idx="17">
                  <c:v>11.87</c:v>
                </c:pt>
                <c:pt idx="18">
                  <c:v>11.87</c:v>
                </c:pt>
                <c:pt idx="19">
                  <c:v>11.87</c:v>
                </c:pt>
                <c:pt idx="20">
                  <c:v>11.87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FA-4DCD-9751-F0A7F0D9C0D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'SW Buoyancy Cargo'!$K$11:$K$31</c:f>
              <c:numCache>
                <c:formatCode>0.00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FA-4DCD-9751-F0A7F0D9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58144"/>
        <c:axId val="1720349024"/>
      </c:lineChart>
      <c:catAx>
        <c:axId val="172035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9024"/>
        <c:crosses val="autoZero"/>
        <c:auto val="1"/>
        <c:lblAlgn val="ctr"/>
        <c:lblOffset val="100"/>
        <c:noMultiLvlLbl val="0"/>
      </c:catAx>
      <c:valAx>
        <c:axId val="17203490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5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Cargo'!$H$11:$H$31</c:f>
              <c:numCache>
                <c:formatCode>0.00</c:formatCode>
                <c:ptCount val="21"/>
                <c:pt idx="0">
                  <c:v>4.7915749073746818</c:v>
                </c:pt>
                <c:pt idx="1">
                  <c:v>45.776411072644073</c:v>
                </c:pt>
                <c:pt idx="2">
                  <c:v>103.07061109412351</c:v>
                </c:pt>
                <c:pt idx="3">
                  <c:v>158.77050557532468</c:v>
                </c:pt>
                <c:pt idx="4">
                  <c:v>205.77441578980924</c:v>
                </c:pt>
                <c:pt idx="5">
                  <c:v>239.87477085758758</c:v>
                </c:pt>
                <c:pt idx="6">
                  <c:v>259.89289982446059</c:v>
                </c:pt>
                <c:pt idx="7">
                  <c:v>268.59123575262447</c:v>
                </c:pt>
                <c:pt idx="8">
                  <c:v>270.64328215528758</c:v>
                </c:pt>
                <c:pt idx="9">
                  <c:v>270.73533771006765</c:v>
                </c:pt>
                <c:pt idx="10">
                  <c:v>270.82739326484773</c:v>
                </c:pt>
                <c:pt idx="11">
                  <c:v>270.91944881962792</c:v>
                </c:pt>
                <c:pt idx="12">
                  <c:v>271.01150437440793</c:v>
                </c:pt>
                <c:pt idx="13">
                  <c:v>270.13497145038184</c:v>
                </c:pt>
                <c:pt idx="14">
                  <c:v>266.56492443582948</c:v>
                </c:pt>
                <c:pt idx="15">
                  <c:v>257.27481882182599</c:v>
                </c:pt>
                <c:pt idx="16">
                  <c:v>235.9398085853382</c:v>
                </c:pt>
                <c:pt idx="17">
                  <c:v>199.01583870437122</c:v>
                </c:pt>
                <c:pt idx="18">
                  <c:v>147.75438740622445</c:v>
                </c:pt>
                <c:pt idx="19">
                  <c:v>78.424758926196517</c:v>
                </c:pt>
                <c:pt idx="20">
                  <c:v>0.10134213300628638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4-4A15-930A-C8BD8D3CDF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Cargo'!$I$11:$I$31</c:f>
              <c:numCache>
                <c:formatCode>0.00</c:formatCode>
                <c:ptCount val="21"/>
                <c:pt idx="0">
                  <c:v>7.9573071710691945</c:v>
                </c:pt>
                <c:pt idx="1">
                  <c:v>54.731849153918304</c:v>
                </c:pt>
                <c:pt idx="2">
                  <c:v>116.7043374581293</c:v>
                </c:pt>
                <c:pt idx="3">
                  <c:v>175.44239732314989</c:v>
                </c:pt>
                <c:pt idx="4">
                  <c:v>223.95880482300416</c:v>
                </c:pt>
                <c:pt idx="5">
                  <c:v>258.45267415000603</c:v>
                </c:pt>
                <c:pt idx="6">
                  <c:v>278.18082659844436</c:v>
                </c:pt>
                <c:pt idx="7">
                  <c:v>286.46865029030431</c:v>
                </c:pt>
                <c:pt idx="8">
                  <c:v>288.04436119400719</c:v>
                </c:pt>
                <c:pt idx="9">
                  <c:v>287.67464112129136</c:v>
                </c:pt>
                <c:pt idx="10">
                  <c:v>287.304989108418</c:v>
                </c:pt>
                <c:pt idx="11">
                  <c:v>286.93540577148423</c:v>
                </c:pt>
                <c:pt idx="12">
                  <c:v>286.56589170771298</c:v>
                </c:pt>
                <c:pt idx="13">
                  <c:v>285.23128545088986</c:v>
                </c:pt>
                <c:pt idx="14">
                  <c:v>281.14357657059958</c:v>
                </c:pt>
                <c:pt idx="15">
                  <c:v>271.20130881092228</c:v>
                </c:pt>
                <c:pt idx="16">
                  <c:v>248.70808380103063</c:v>
                </c:pt>
                <c:pt idx="17">
                  <c:v>209.83638098455668</c:v>
                </c:pt>
                <c:pt idx="18">
                  <c:v>155.65478671217048</c:v>
                </c:pt>
                <c:pt idx="19">
                  <c:v>82.585037787137338</c:v>
                </c:pt>
                <c:pt idx="20">
                  <c:v>0.25290604923030618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4-4A15-930A-C8BD8D3CDF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Cargo'!$J$11:$J$31</c:f>
              <c:numCache>
                <c:formatCode>0.00</c:formatCode>
                <c:ptCount val="21"/>
                <c:pt idx="0">
                  <c:v>10.806366407531414</c:v>
                </c:pt>
                <c:pt idx="1">
                  <c:v>62.111326903448798</c:v>
                </c:pt>
                <c:pt idx="2">
                  <c:v>127.80322151696647</c:v>
                </c:pt>
                <c:pt idx="3">
                  <c:v>189.28379476376412</c:v>
                </c:pt>
                <c:pt idx="4">
                  <c:v>239.57505799456533</c:v>
                </c:pt>
                <c:pt idx="5">
                  <c:v>275.10383757713834</c:v>
                </c:pt>
                <c:pt idx="6">
                  <c:v>295.39933021251659</c:v>
                </c:pt>
                <c:pt idx="7">
                  <c:v>304.18634636253114</c:v>
                </c:pt>
                <c:pt idx="8">
                  <c:v>306.21353320823243</c:v>
                </c:pt>
                <c:pt idx="9">
                  <c:v>306.3038465309038</c:v>
                </c:pt>
                <c:pt idx="10">
                  <c:v>306.39415985357527</c:v>
                </c:pt>
                <c:pt idx="11">
                  <c:v>306.48447317624669</c:v>
                </c:pt>
                <c:pt idx="12">
                  <c:v>306.574786498918</c:v>
                </c:pt>
                <c:pt idx="13">
                  <c:v>305.70243354127774</c:v>
                </c:pt>
                <c:pt idx="14">
                  <c:v>301.99609272447839</c:v>
                </c:pt>
                <c:pt idx="15">
                  <c:v>292.23338674719315</c:v>
                </c:pt>
                <c:pt idx="16">
                  <c:v>269.12226536438487</c:v>
                </c:pt>
                <c:pt idx="17">
                  <c:v>228.20421929676914</c:v>
                </c:pt>
                <c:pt idx="18">
                  <c:v>169.90748075544278</c:v>
                </c:pt>
                <c:pt idx="19">
                  <c:v>90.634564943429368</c:v>
                </c:pt>
                <c:pt idx="20">
                  <c:v>0.73291080478787229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94-4A15-930A-C8BD8D3CD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074639"/>
        <c:axId val="319067439"/>
      </c:lineChart>
      <c:catAx>
        <c:axId val="31907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9067439"/>
        <c:crosses val="autoZero"/>
        <c:auto val="1"/>
        <c:lblAlgn val="ctr"/>
        <c:lblOffset val="100"/>
        <c:noMultiLvlLbl val="0"/>
      </c:catAx>
      <c:valAx>
        <c:axId val="31906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907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7580927384076973E-2"/>
          <c:y val="0.18486829564083898"/>
          <c:w val="0.90297462817147855"/>
          <c:h val="0.72235969478066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Sagging Cargo'!$D$11:$D$31</c:f>
              <c:numCache>
                <c:formatCode>General</c:formatCode>
                <c:ptCount val="21"/>
                <c:pt idx="0">
                  <c:v>11.5</c:v>
                </c:pt>
                <c:pt idx="1">
                  <c:v>11.46</c:v>
                </c:pt>
                <c:pt idx="2">
                  <c:v>11.35</c:v>
                </c:pt>
                <c:pt idx="3">
                  <c:v>11.18</c:v>
                </c:pt>
                <c:pt idx="4">
                  <c:v>10.94</c:v>
                </c:pt>
                <c:pt idx="5">
                  <c:v>10.65</c:v>
                </c:pt>
                <c:pt idx="6">
                  <c:v>10.34</c:v>
                </c:pt>
                <c:pt idx="7">
                  <c:v>10.029999999999999</c:v>
                </c:pt>
                <c:pt idx="8">
                  <c:v>9.76</c:v>
                </c:pt>
                <c:pt idx="9">
                  <c:v>9.57</c:v>
                </c:pt>
                <c:pt idx="10">
                  <c:v>9.5</c:v>
                </c:pt>
                <c:pt idx="11">
                  <c:v>9.57</c:v>
                </c:pt>
                <c:pt idx="12">
                  <c:v>9.76</c:v>
                </c:pt>
                <c:pt idx="13">
                  <c:v>10.029999999999999</c:v>
                </c:pt>
                <c:pt idx="14">
                  <c:v>10.34</c:v>
                </c:pt>
                <c:pt idx="15">
                  <c:v>10.65</c:v>
                </c:pt>
                <c:pt idx="16">
                  <c:v>10.94</c:v>
                </c:pt>
                <c:pt idx="17">
                  <c:v>11.18</c:v>
                </c:pt>
                <c:pt idx="18">
                  <c:v>11.35</c:v>
                </c:pt>
                <c:pt idx="19">
                  <c:v>11.46</c:v>
                </c:pt>
                <c:pt idx="20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C-4E01-9EE6-64DC080A96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Sagging Cargo'!$E$11:$E$31</c:f>
              <c:numCache>
                <c:formatCode>General</c:formatCode>
                <c:ptCount val="21"/>
                <c:pt idx="0">
                  <c:v>12.264355126879444</c:v>
                </c:pt>
                <c:pt idx="1">
                  <c:v>12.218338774683788</c:v>
                </c:pt>
                <c:pt idx="2">
                  <c:v>12.102322422488129</c:v>
                </c:pt>
                <c:pt idx="3">
                  <c:v>11.926306070292473</c:v>
                </c:pt>
                <c:pt idx="4">
                  <c:v>11.680289718096814</c:v>
                </c:pt>
                <c:pt idx="5">
                  <c:v>11.384273365901159</c:v>
                </c:pt>
                <c:pt idx="6">
                  <c:v>11.068257013705502</c:v>
                </c:pt>
                <c:pt idx="7">
                  <c:v>10.752240661509843</c:v>
                </c:pt>
                <c:pt idx="8">
                  <c:v>10.476224309314187</c:v>
                </c:pt>
                <c:pt idx="9">
                  <c:v>10.280207957118529</c:v>
                </c:pt>
                <c:pt idx="10">
                  <c:v>10.204191604922872</c:v>
                </c:pt>
                <c:pt idx="11">
                  <c:v>10.268175252727216</c:v>
                </c:pt>
                <c:pt idx="12">
                  <c:v>10.452158900531558</c:v>
                </c:pt>
                <c:pt idx="13">
                  <c:v>10.716142548335901</c:v>
                </c:pt>
                <c:pt idx="14">
                  <c:v>11.020126196140243</c:v>
                </c:pt>
                <c:pt idx="15">
                  <c:v>11.324109843944587</c:v>
                </c:pt>
                <c:pt idx="16">
                  <c:v>11.60809349174893</c:v>
                </c:pt>
                <c:pt idx="17">
                  <c:v>11.842077139553272</c:v>
                </c:pt>
                <c:pt idx="18">
                  <c:v>12.006060787357615</c:v>
                </c:pt>
                <c:pt idx="19">
                  <c:v>12.110044435161958</c:v>
                </c:pt>
                <c:pt idx="20">
                  <c:v>12.144028082966301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C-4E01-9EE6-64DC080A96B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Sagging Cargo'!$F$11:$F$31</c:f>
              <c:numCache>
                <c:formatCode>0.00</c:formatCode>
                <c:ptCount val="21"/>
                <c:pt idx="0">
                  <c:v>13.5</c:v>
                </c:pt>
                <c:pt idx="1">
                  <c:v>13.46</c:v>
                </c:pt>
                <c:pt idx="2">
                  <c:v>13.35</c:v>
                </c:pt>
                <c:pt idx="3">
                  <c:v>13.18</c:v>
                </c:pt>
                <c:pt idx="4">
                  <c:v>12.94</c:v>
                </c:pt>
                <c:pt idx="5">
                  <c:v>12.65</c:v>
                </c:pt>
                <c:pt idx="6">
                  <c:v>12.34</c:v>
                </c:pt>
                <c:pt idx="7">
                  <c:v>12.03</c:v>
                </c:pt>
                <c:pt idx="8">
                  <c:v>11.76</c:v>
                </c:pt>
                <c:pt idx="9">
                  <c:v>11.57</c:v>
                </c:pt>
                <c:pt idx="10">
                  <c:v>11.5</c:v>
                </c:pt>
                <c:pt idx="11">
                  <c:v>11.57</c:v>
                </c:pt>
                <c:pt idx="12">
                  <c:v>11.76</c:v>
                </c:pt>
                <c:pt idx="13">
                  <c:v>12.03</c:v>
                </c:pt>
                <c:pt idx="14">
                  <c:v>12.34</c:v>
                </c:pt>
                <c:pt idx="15">
                  <c:v>12.65</c:v>
                </c:pt>
                <c:pt idx="16">
                  <c:v>12.94</c:v>
                </c:pt>
                <c:pt idx="17">
                  <c:v>13.18</c:v>
                </c:pt>
                <c:pt idx="18">
                  <c:v>13.35</c:v>
                </c:pt>
                <c:pt idx="19">
                  <c:v>13.46</c:v>
                </c:pt>
                <c:pt idx="20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0C-4E01-9EE6-64DC080A96B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'SW Buoyancy Sagging Cargo'!$M$11:$M$31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0C-4E01-9EE6-64DC080A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45664"/>
        <c:axId val="1720357184"/>
      </c:lineChart>
      <c:catAx>
        <c:axId val="172034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57184"/>
        <c:crosses val="autoZero"/>
        <c:auto val="1"/>
        <c:lblAlgn val="ctr"/>
        <c:lblOffset val="100"/>
        <c:noMultiLvlLbl val="0"/>
      </c:catAx>
      <c:valAx>
        <c:axId val="172035718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'SW Buoyancy Sagging Cargo'!$J$11:$J$31</c:f>
              <c:numCache>
                <c:formatCode>0.00</c:formatCode>
                <c:ptCount val="21"/>
                <c:pt idx="0">
                  <c:v>8.8479253585921462</c:v>
                </c:pt>
                <c:pt idx="1">
                  <c:v>56.768525117018477</c:v>
                </c:pt>
                <c:pt idx="2">
                  <c:v>118.03338723979191</c:v>
                </c:pt>
                <c:pt idx="3">
                  <c:v>173.66815680046912</c:v>
                </c:pt>
                <c:pt idx="4">
                  <c:v>216.5262399615832</c:v>
                </c:pt>
                <c:pt idx="5">
                  <c:v>243.71611953880827</c:v>
                </c:pt>
                <c:pt idx="6">
                  <c:v>255.75202908697469</c:v>
                </c:pt>
                <c:pt idx="7">
                  <c:v>256.38723248359264</c:v>
                </c:pt>
                <c:pt idx="8">
                  <c:v>251.44409376021889</c:v>
                </c:pt>
                <c:pt idx="9">
                  <c:v>246.60481987876204</c:v>
                </c:pt>
                <c:pt idx="10">
                  <c:v>244.88109415495262</c:v>
                </c:pt>
                <c:pt idx="11">
                  <c:v>246.79301382049061</c:v>
                </c:pt>
                <c:pt idx="12">
                  <c:v>251.81877582733426</c:v>
                </c:pt>
                <c:pt idx="13">
                  <c:v>257.94485022389398</c:v>
                </c:pt>
                <c:pt idx="14">
                  <c:v>262.43241967802498</c:v>
                </c:pt>
                <c:pt idx="15">
                  <c:v>261.09533633658339</c:v>
                </c:pt>
                <c:pt idx="16">
                  <c:v>246.56138683204844</c:v>
                </c:pt>
                <c:pt idx="17">
                  <c:v>213.42968492756091</c:v>
                </c:pt>
                <c:pt idx="18">
                  <c:v>161.41676021585886</c:v>
                </c:pt>
                <c:pt idx="19">
                  <c:v>86.902831944922099</c:v>
                </c:pt>
                <c:pt idx="20">
                  <c:v>0.50614639482179302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F8-4294-8C01-965A11FEA66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'SW Buoyancy Sagging Cargo'!$K$11:$K$31</c:f>
              <c:numCache>
                <c:formatCode>0.00</c:formatCode>
                <c:ptCount val="21"/>
                <c:pt idx="0">
                  <c:v>13.206370775784018</c:v>
                </c:pt>
                <c:pt idx="1">
                  <c:v>66.979121892881977</c:v>
                </c:pt>
                <c:pt idx="2">
                  <c:v>132.32187927898164</c:v>
                </c:pt>
                <c:pt idx="3">
                  <c:v>190.57956325398376</c:v>
                </c:pt>
                <c:pt idx="4">
                  <c:v>234.83990656718157</c:v>
                </c:pt>
                <c:pt idx="5">
                  <c:v>262.57703435600081</c:v>
                </c:pt>
                <c:pt idx="6">
                  <c:v>274.60537695718028</c:v>
                </c:pt>
                <c:pt idx="7">
                  <c:v>275.13979852162549</c:v>
                </c:pt>
                <c:pt idx="8">
                  <c:v>270.02662196132354</c:v>
                </c:pt>
                <c:pt idx="9">
                  <c:v>265.03492208299264</c:v>
                </c:pt>
                <c:pt idx="10">
                  <c:v>263.15589076670881</c:v>
                </c:pt>
                <c:pt idx="11">
                  <c:v>264.90790867331754</c:v>
                </c:pt>
                <c:pt idx="12">
                  <c:v>269.77105717496704</c:v>
                </c:pt>
                <c:pt idx="13">
                  <c:v>275.74028997487051</c:v>
                </c:pt>
                <c:pt idx="14">
                  <c:v>280.00236564150396</c:v>
                </c:pt>
                <c:pt idx="15">
                  <c:v>278.28271893551704</c:v>
                </c:pt>
                <c:pt idx="16">
                  <c:v>262.75018831196365</c:v>
                </c:pt>
                <c:pt idx="17">
                  <c:v>227.60276612952271</c:v>
                </c:pt>
                <c:pt idx="18">
                  <c:v>172.14985867283534</c:v>
                </c:pt>
                <c:pt idx="19">
                  <c:v>92.858261013458076</c:v>
                </c:pt>
                <c:pt idx="20">
                  <c:v>0.93295412622713525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F8-4294-8C01-965A11FEA66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'SW Buoyancy Sagging Cargo'!$L$11:$L$31</c:f>
              <c:numCache>
                <c:formatCode>0.00</c:formatCode>
                <c:ptCount val="21"/>
                <c:pt idx="0">
                  <c:v>23.148720060235625</c:v>
                </c:pt>
                <c:pt idx="1">
                  <c:v>86.9981312826596</c:v>
                </c:pt>
                <c:pt idx="2">
                  <c:v>158.24256347809219</c:v>
                </c:pt>
                <c:pt idx="3">
                  <c:v>220.22894771623064</c:v>
                </c:pt>
                <c:pt idx="4">
                  <c:v>266.56851352564303</c:v>
                </c:pt>
                <c:pt idx="5">
                  <c:v>295.30385396796629</c:v>
                </c:pt>
                <c:pt idx="6">
                  <c:v>307.62681915960786</c:v>
                </c:pt>
                <c:pt idx="7">
                  <c:v>308.35290740181813</c:v>
                </c:pt>
                <c:pt idx="8">
                  <c:v>303.35169655187639</c:v>
                </c:pt>
                <c:pt idx="9">
                  <c:v>298.50255591210055</c:v>
                </c:pt>
                <c:pt idx="10">
                  <c:v>296.77427969781309</c:v>
                </c:pt>
                <c:pt idx="11">
                  <c:v>298.68347744189214</c:v>
                </c:pt>
                <c:pt idx="12">
                  <c:v>303.71308720223482</c:v>
                </c:pt>
                <c:pt idx="13">
                  <c:v>309.86829799652344</c:v>
                </c:pt>
                <c:pt idx="14">
                  <c:v>314.19873796099301</c:v>
                </c:pt>
                <c:pt idx="15">
                  <c:v>312.2491560220883</c:v>
                </c:pt>
                <c:pt idx="16">
                  <c:v>295.36711383411864</c:v>
                </c:pt>
                <c:pt idx="17">
                  <c:v>256.87427300033255</c:v>
                </c:pt>
                <c:pt idx="18">
                  <c:v>194.91122936878631</c:v>
                </c:pt>
                <c:pt idx="19">
                  <c:v>106.06279901695999</c:v>
                </c:pt>
                <c:pt idx="20">
                  <c:v>2.4145922235510318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F8-4294-8C01-965A11FEA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8959"/>
        <c:axId val="129866239"/>
      </c:scatterChart>
      <c:valAx>
        <c:axId val="1298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66239"/>
        <c:crosses val="autoZero"/>
        <c:crossBetween val="midCat"/>
      </c:valAx>
      <c:valAx>
        <c:axId val="1298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7580927384076973E-2"/>
          <c:y val="0.18486829564083898"/>
          <c:w val="0.90297462817147855"/>
          <c:h val="0.72235969478066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Hogging Cargo'!$D$11:$D$31</c:f>
              <c:numCache>
                <c:formatCode>General</c:formatCode>
                <c:ptCount val="21"/>
                <c:pt idx="0">
                  <c:v>9</c:v>
                </c:pt>
                <c:pt idx="1">
                  <c:v>9.0399999999999991</c:v>
                </c:pt>
                <c:pt idx="2">
                  <c:v>9.15</c:v>
                </c:pt>
                <c:pt idx="3">
                  <c:v>9.32</c:v>
                </c:pt>
                <c:pt idx="4">
                  <c:v>9.56</c:v>
                </c:pt>
                <c:pt idx="5">
                  <c:v>9.85</c:v>
                </c:pt>
                <c:pt idx="6">
                  <c:v>10.16</c:v>
                </c:pt>
                <c:pt idx="7">
                  <c:v>10.47</c:v>
                </c:pt>
                <c:pt idx="8">
                  <c:v>10.74</c:v>
                </c:pt>
                <c:pt idx="9">
                  <c:v>10.93</c:v>
                </c:pt>
                <c:pt idx="10">
                  <c:v>11</c:v>
                </c:pt>
                <c:pt idx="11">
                  <c:v>10.93</c:v>
                </c:pt>
                <c:pt idx="12">
                  <c:v>10.74</c:v>
                </c:pt>
                <c:pt idx="13">
                  <c:v>10.47</c:v>
                </c:pt>
                <c:pt idx="14">
                  <c:v>10.16</c:v>
                </c:pt>
                <c:pt idx="15">
                  <c:v>9.85</c:v>
                </c:pt>
                <c:pt idx="16">
                  <c:v>9.56</c:v>
                </c:pt>
                <c:pt idx="17">
                  <c:v>9.32</c:v>
                </c:pt>
                <c:pt idx="18">
                  <c:v>9.15</c:v>
                </c:pt>
                <c:pt idx="19">
                  <c:v>9.0399999999999991</c:v>
                </c:pt>
                <c:pt idx="2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2-4E10-B818-F731D0A5E8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Hogging Cargo'!$E$11:$E$31</c:f>
              <c:numCache>
                <c:formatCode>General</c:formatCode>
                <c:ptCount val="21"/>
                <c:pt idx="0">
                  <c:v>10.282517827310325</c:v>
                </c:pt>
                <c:pt idx="1">
                  <c:v>10.298524695670725</c:v>
                </c:pt>
                <c:pt idx="2">
                  <c:v>10.384531564031128</c:v>
                </c:pt>
                <c:pt idx="3">
                  <c:v>10.530538432391529</c:v>
                </c:pt>
                <c:pt idx="4">
                  <c:v>10.746545300751931</c:v>
                </c:pt>
                <c:pt idx="5">
                  <c:v>11.012552169112331</c:v>
                </c:pt>
                <c:pt idx="6">
                  <c:v>11.298559037472732</c:v>
                </c:pt>
                <c:pt idx="7">
                  <c:v>11.584565905833134</c:v>
                </c:pt>
                <c:pt idx="8">
                  <c:v>11.830572774193534</c:v>
                </c:pt>
                <c:pt idx="9">
                  <c:v>11.996579642553936</c:v>
                </c:pt>
                <c:pt idx="10">
                  <c:v>12.042586510914337</c:v>
                </c:pt>
                <c:pt idx="11">
                  <c:v>11.948593379274737</c:v>
                </c:pt>
                <c:pt idx="12">
                  <c:v>11.734600247635139</c:v>
                </c:pt>
                <c:pt idx="13">
                  <c:v>11.44060711599554</c:v>
                </c:pt>
                <c:pt idx="14">
                  <c:v>11.106613984355942</c:v>
                </c:pt>
                <c:pt idx="15">
                  <c:v>10.772620852716342</c:v>
                </c:pt>
                <c:pt idx="16">
                  <c:v>10.458627721076743</c:v>
                </c:pt>
                <c:pt idx="17">
                  <c:v>10.194634589437145</c:v>
                </c:pt>
                <c:pt idx="18">
                  <c:v>10.000641457797546</c:v>
                </c:pt>
                <c:pt idx="19">
                  <c:v>9.8666483261579465</c:v>
                </c:pt>
                <c:pt idx="20">
                  <c:v>9.8026551945183478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F2-4E10-B818-F731D0A5E85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Hogging Cargo'!$F$11:$F$31</c:f>
              <c:numCache>
                <c:formatCode>0.00</c:formatCode>
                <c:ptCount val="21"/>
                <c:pt idx="0">
                  <c:v>11</c:v>
                </c:pt>
                <c:pt idx="1">
                  <c:v>11.04</c:v>
                </c:pt>
                <c:pt idx="2">
                  <c:v>11.15</c:v>
                </c:pt>
                <c:pt idx="3">
                  <c:v>11.32</c:v>
                </c:pt>
                <c:pt idx="4">
                  <c:v>11.56</c:v>
                </c:pt>
                <c:pt idx="5">
                  <c:v>11.85</c:v>
                </c:pt>
                <c:pt idx="6">
                  <c:v>12.16</c:v>
                </c:pt>
                <c:pt idx="7">
                  <c:v>12.47</c:v>
                </c:pt>
                <c:pt idx="8">
                  <c:v>12.74</c:v>
                </c:pt>
                <c:pt idx="9">
                  <c:v>12.93</c:v>
                </c:pt>
                <c:pt idx="10">
                  <c:v>13</c:v>
                </c:pt>
                <c:pt idx="11">
                  <c:v>12.93</c:v>
                </c:pt>
                <c:pt idx="12">
                  <c:v>12.74</c:v>
                </c:pt>
                <c:pt idx="13">
                  <c:v>12.47</c:v>
                </c:pt>
                <c:pt idx="14">
                  <c:v>12.16</c:v>
                </c:pt>
                <c:pt idx="15">
                  <c:v>11.85</c:v>
                </c:pt>
                <c:pt idx="16">
                  <c:v>11.56</c:v>
                </c:pt>
                <c:pt idx="17">
                  <c:v>11.32</c:v>
                </c:pt>
                <c:pt idx="18">
                  <c:v>11.15</c:v>
                </c:pt>
                <c:pt idx="19">
                  <c:v>11.04</c:v>
                </c:pt>
                <c:pt idx="2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F2-4E10-B818-F731D0A5E85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'SW Buoyancy Hogging Cargo'!$M$11:$M$31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F2-4E10-B818-F731D0A5E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45664"/>
        <c:axId val="1720357184"/>
      </c:lineChart>
      <c:catAx>
        <c:axId val="172034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57184"/>
        <c:crosses val="autoZero"/>
        <c:auto val="1"/>
        <c:lblAlgn val="ctr"/>
        <c:lblOffset val="100"/>
        <c:noMultiLvlLbl val="0"/>
      </c:catAx>
      <c:valAx>
        <c:axId val="172035718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'SW Buoyancy Hogging Cargo'!$J$11:$J$31</c:f>
              <c:numCache>
                <c:formatCode>0.00</c:formatCode>
                <c:ptCount val="21"/>
                <c:pt idx="0">
                  <c:v>1.3478663581839743</c:v>
                </c:pt>
                <c:pt idx="1">
                  <c:v>32.634090936745906</c:v>
                </c:pt>
                <c:pt idx="2">
                  <c:v>81.788770546435799</c:v>
                </c:pt>
                <c:pt idx="3">
                  <c:v>134.135743962367</c:v>
                </c:pt>
                <c:pt idx="4">
                  <c:v>183.17519360500935</c:v>
                </c:pt>
                <c:pt idx="5">
                  <c:v>223.27799135233883</c:v>
                </c:pt>
                <c:pt idx="6">
                  <c:v>251.09386686125703</c:v>
                </c:pt>
                <c:pt idx="7">
                  <c:v>267.81237862858239</c:v>
                </c:pt>
                <c:pt idx="8">
                  <c:v>276.86813976168037</c:v>
                </c:pt>
                <c:pt idx="9">
                  <c:v>281.88805605235632</c:v>
                </c:pt>
                <c:pt idx="10">
                  <c:v>283.79519390763772</c:v>
                </c:pt>
                <c:pt idx="11">
                  <c:v>282.07057084150711</c:v>
                </c:pt>
                <c:pt idx="12">
                  <c:v>277.23450071712438</c:v>
                </c:pt>
                <c:pt idx="13">
                  <c:v>269.3569801895369</c:v>
                </c:pt>
                <c:pt idx="14">
                  <c:v>257.7833391401067</c:v>
                </c:pt>
                <c:pt idx="15">
                  <c:v>240.72872208049256</c:v>
                </c:pt>
                <c:pt idx="16">
                  <c:v>213.3221868582786</c:v>
                </c:pt>
                <c:pt idx="17">
                  <c:v>174.23780911360859</c:v>
                </c:pt>
                <c:pt idx="18">
                  <c:v>126.41749054187478</c:v>
                </c:pt>
                <c:pt idx="19">
                  <c:v>65.972370939044183</c:v>
                </c:pt>
                <c:pt idx="20">
                  <c:v>-0.10944948660769045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7C-402F-899F-926F83F4AA2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'SW Buoyancy Hogging Cargo'!$K$11:$K$31</c:f>
              <c:numCache>
                <c:formatCode>0.00</c:formatCode>
                <c:ptCount val="21"/>
                <c:pt idx="0">
                  <c:v>4.1181748787218737</c:v>
                </c:pt>
                <c:pt idx="1">
                  <c:v>43.720805811485334</c:v>
                </c:pt>
                <c:pt idx="2">
                  <c:v>101.13273986106059</c:v>
                </c:pt>
                <c:pt idx="3">
                  <c:v>159.42879172849317</c:v>
                </c:pt>
                <c:pt idx="4">
                  <c:v>211.78615703917202</c:v>
                </c:pt>
                <c:pt idx="5">
                  <c:v>253.01721778433122</c:v>
                </c:pt>
                <c:pt idx="6">
                  <c:v>280.57260927163861</c:v>
                </c:pt>
                <c:pt idx="7">
                  <c:v>296.76065711282666</c:v>
                </c:pt>
                <c:pt idx="8">
                  <c:v>305.18757734392494</c:v>
                </c:pt>
                <c:pt idx="9">
                  <c:v>309.59917156159361</c:v>
                </c:pt>
                <c:pt idx="10">
                  <c:v>310.88783407182694</c:v>
                </c:pt>
                <c:pt idx="11">
                  <c:v>308.53023305435545</c:v>
                </c:pt>
                <c:pt idx="12">
                  <c:v>303.05254200784418</c:v>
                </c:pt>
                <c:pt idx="13">
                  <c:v>294.53959904975591</c:v>
                </c:pt>
                <c:pt idx="14">
                  <c:v>282.23783311291169</c:v>
                </c:pt>
                <c:pt idx="15">
                  <c:v>264.21937433740823</c:v>
                </c:pt>
                <c:pt idx="16">
                  <c:v>234.94240176341981</c:v>
                </c:pt>
                <c:pt idx="17">
                  <c:v>192.57928262616596</c:v>
                </c:pt>
                <c:pt idx="18">
                  <c:v>139.82102400177303</c:v>
                </c:pt>
                <c:pt idx="19">
                  <c:v>72.975340581450141</c:v>
                </c:pt>
                <c:pt idx="20">
                  <c:v>-4.1890603799697439E-2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7C-402F-899F-926F83F4AA2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'SW Buoyancy Hogging Cargo'!$L$11:$L$31</c:f>
              <c:numCache>
                <c:formatCode>0.00</c:formatCode>
                <c:ptCount val="21"/>
                <c:pt idx="0">
                  <c:v>6.6100544342109755</c:v>
                </c:pt>
                <c:pt idx="1">
                  <c:v>51.707408608682698</c:v>
                </c:pt>
                <c:pt idx="2">
                  <c:v>114.40120802958812</c:v>
                </c:pt>
                <c:pt idx="3">
                  <c:v>176.79662225121592</c:v>
                </c:pt>
                <c:pt idx="4">
                  <c:v>231.84606030943903</c:v>
                </c:pt>
                <c:pt idx="5">
                  <c:v>274.58726010008525</c:v>
                </c:pt>
                <c:pt idx="6">
                  <c:v>302.93957637429878</c:v>
                </c:pt>
                <c:pt idx="7">
                  <c:v>319.83082557409273</c:v>
                </c:pt>
                <c:pt idx="8">
                  <c:v>328.92394195277575</c:v>
                </c:pt>
                <c:pt idx="9">
                  <c:v>333.99884115964664</c:v>
                </c:pt>
                <c:pt idx="10">
                  <c:v>335.92935695597993</c:v>
                </c:pt>
                <c:pt idx="11">
                  <c:v>334.18174453455185</c:v>
                </c:pt>
                <c:pt idx="12">
                  <c:v>329.28803213437118</c:v>
                </c:pt>
                <c:pt idx="13">
                  <c:v>321.34847548922727</c:v>
                </c:pt>
                <c:pt idx="14">
                  <c:v>309.52087843824768</c:v>
                </c:pt>
                <c:pt idx="15">
                  <c:v>291.72157865860618</c:v>
                </c:pt>
                <c:pt idx="16">
                  <c:v>261.5818437628277</c:v>
                </c:pt>
                <c:pt idx="17">
                  <c:v>216.4137311823946</c:v>
                </c:pt>
                <c:pt idx="18">
                  <c:v>158.18056668181751</c:v>
                </c:pt>
                <c:pt idx="19">
                  <c:v>83.154514832384166</c:v>
                </c:pt>
                <c:pt idx="20">
                  <c:v>0.26957253602423842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7C-402F-899F-926F83F4A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8959"/>
        <c:axId val="129866239"/>
      </c:scatterChart>
      <c:valAx>
        <c:axId val="1298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66239"/>
        <c:crosses val="autoZero"/>
        <c:crossBetween val="midCat"/>
      </c:valAx>
      <c:valAx>
        <c:axId val="1298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Ballast'!$B$11:$B$31</c:f>
              <c:numCache>
                <c:formatCode>General</c:formatCode>
                <c:ptCount val="21"/>
                <c:pt idx="0">
                  <c:v>9.5</c:v>
                </c:pt>
                <c:pt idx="1">
                  <c:v>9.5</c:v>
                </c:pt>
                <c:pt idx="2">
                  <c:v>9.5</c:v>
                </c:pt>
                <c:pt idx="3">
                  <c:v>9.5</c:v>
                </c:pt>
                <c:pt idx="4">
                  <c:v>9.5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  <c:pt idx="8">
                  <c:v>9.5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  <c:pt idx="12">
                  <c:v>9.5</c:v>
                </c:pt>
                <c:pt idx="13">
                  <c:v>9.5</c:v>
                </c:pt>
                <c:pt idx="14">
                  <c:v>9.5</c:v>
                </c:pt>
                <c:pt idx="15">
                  <c:v>9.5</c:v>
                </c:pt>
                <c:pt idx="16">
                  <c:v>9.5</c:v>
                </c:pt>
                <c:pt idx="17">
                  <c:v>9.5</c:v>
                </c:pt>
                <c:pt idx="18">
                  <c:v>9.5</c:v>
                </c:pt>
                <c:pt idx="19">
                  <c:v>9.5</c:v>
                </c:pt>
                <c:pt idx="20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5-4BA0-BE6D-E72D080C8B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Ballast'!$C$11:$C$31</c:f>
              <c:numCache>
                <c:formatCode>General</c:formatCode>
                <c:ptCount val="21"/>
                <c:pt idx="0">
                  <c:v>10.272569464208987</c:v>
                </c:pt>
                <c:pt idx="1">
                  <c:v>10.266614334694609</c:v>
                </c:pt>
                <c:pt idx="2">
                  <c:v>10.260659205180229</c:v>
                </c:pt>
                <c:pt idx="3">
                  <c:v>10.254704075665851</c:v>
                </c:pt>
                <c:pt idx="4">
                  <c:v>10.248748946151473</c:v>
                </c:pt>
                <c:pt idx="5">
                  <c:v>10.242793816637095</c:v>
                </c:pt>
                <c:pt idx="6">
                  <c:v>10.236838687122715</c:v>
                </c:pt>
                <c:pt idx="7">
                  <c:v>10.230883557608337</c:v>
                </c:pt>
                <c:pt idx="8">
                  <c:v>10.224928428093959</c:v>
                </c:pt>
                <c:pt idx="9">
                  <c:v>10.218973298579581</c:v>
                </c:pt>
                <c:pt idx="10">
                  <c:v>10.213018169065201</c:v>
                </c:pt>
                <c:pt idx="11">
                  <c:v>10.207063039550823</c:v>
                </c:pt>
                <c:pt idx="12">
                  <c:v>10.201107910036445</c:v>
                </c:pt>
                <c:pt idx="13">
                  <c:v>10.195152780522065</c:v>
                </c:pt>
                <c:pt idx="14">
                  <c:v>10.189197651007687</c:v>
                </c:pt>
                <c:pt idx="15">
                  <c:v>10.183242521493309</c:v>
                </c:pt>
                <c:pt idx="16">
                  <c:v>10.177287391978931</c:v>
                </c:pt>
                <c:pt idx="17">
                  <c:v>10.171332262464551</c:v>
                </c:pt>
                <c:pt idx="18">
                  <c:v>10.165377132950173</c:v>
                </c:pt>
                <c:pt idx="19">
                  <c:v>10.159422003435795</c:v>
                </c:pt>
                <c:pt idx="20">
                  <c:v>10.153466873921415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5-4BA0-BE6D-E72D080C8B9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Ballast'!$D$11:$D$31</c:f>
              <c:numCache>
                <c:formatCode>0.00</c:formatCode>
                <c:ptCount val="21"/>
                <c:pt idx="0">
                  <c:v>10.87</c:v>
                </c:pt>
                <c:pt idx="1">
                  <c:v>10.87</c:v>
                </c:pt>
                <c:pt idx="2">
                  <c:v>10.87</c:v>
                </c:pt>
                <c:pt idx="3">
                  <c:v>10.87</c:v>
                </c:pt>
                <c:pt idx="4">
                  <c:v>10.87</c:v>
                </c:pt>
                <c:pt idx="5">
                  <c:v>10.87</c:v>
                </c:pt>
                <c:pt idx="6">
                  <c:v>10.87</c:v>
                </c:pt>
                <c:pt idx="7">
                  <c:v>10.87</c:v>
                </c:pt>
                <c:pt idx="8">
                  <c:v>10.87</c:v>
                </c:pt>
                <c:pt idx="9">
                  <c:v>10.87</c:v>
                </c:pt>
                <c:pt idx="10">
                  <c:v>10.87</c:v>
                </c:pt>
                <c:pt idx="11">
                  <c:v>10.87</c:v>
                </c:pt>
                <c:pt idx="12">
                  <c:v>10.87</c:v>
                </c:pt>
                <c:pt idx="13">
                  <c:v>10.87</c:v>
                </c:pt>
                <c:pt idx="14">
                  <c:v>10.87</c:v>
                </c:pt>
                <c:pt idx="15">
                  <c:v>10.87</c:v>
                </c:pt>
                <c:pt idx="16">
                  <c:v>10.87</c:v>
                </c:pt>
                <c:pt idx="17">
                  <c:v>10.87</c:v>
                </c:pt>
                <c:pt idx="18">
                  <c:v>10.87</c:v>
                </c:pt>
                <c:pt idx="19">
                  <c:v>10.87</c:v>
                </c:pt>
                <c:pt idx="20">
                  <c:v>10.87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45-4BA0-BE6D-E72D080C8B9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'SW Buoyancy Ballast'!$K$11:$K$31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5-4BA0-BE6D-E72D080C8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58144"/>
        <c:axId val="1720349024"/>
      </c:lineChart>
      <c:catAx>
        <c:axId val="172035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9024"/>
        <c:crosses val="autoZero"/>
        <c:auto val="1"/>
        <c:lblAlgn val="ctr"/>
        <c:lblOffset val="100"/>
        <c:noMultiLvlLbl val="0"/>
      </c:catAx>
      <c:valAx>
        <c:axId val="17203490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5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'SW Buoyancy Ballast'!$H$10</c:f>
              <c:strCache>
                <c:ptCount val="1"/>
                <c:pt idx="0">
                  <c:v>Area_WL0 [m^2]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Ballast'!$H$11:$H$31</c:f>
              <c:numCache>
                <c:formatCode>0.00</c:formatCode>
                <c:ptCount val="21"/>
                <c:pt idx="0">
                  <c:v>2.2076946976281011</c:v>
                </c:pt>
                <c:pt idx="1">
                  <c:v>36.353510096098397</c:v>
                </c:pt>
                <c:pt idx="2">
                  <c:v>87.021366303116935</c:v>
                </c:pt>
                <c:pt idx="3">
                  <c:v>137.79089807593604</c:v>
                </c:pt>
                <c:pt idx="4">
                  <c:v>181.75106761611195</c:v>
                </c:pt>
                <c:pt idx="5">
                  <c:v>214.3768720013683</c:v>
                </c:pt>
                <c:pt idx="6">
                  <c:v>234.01307455657951</c:v>
                </c:pt>
                <c:pt idx="7">
                  <c:v>242.61560160988199</c:v>
                </c:pt>
                <c:pt idx="8">
                  <c:v>244.69258907625951</c:v>
                </c:pt>
                <c:pt idx="9">
                  <c:v>244.78684161560608</c:v>
                </c:pt>
                <c:pt idx="10">
                  <c:v>244.88109415495262</c:v>
                </c:pt>
                <c:pt idx="11">
                  <c:v>244.97534669429922</c:v>
                </c:pt>
                <c:pt idx="12">
                  <c:v>245.06959923364568</c:v>
                </c:pt>
                <c:pt idx="13">
                  <c:v>244.18845410391586</c:v>
                </c:pt>
                <c:pt idx="14">
                  <c:v>240.73124056312571</c:v>
                </c:pt>
                <c:pt idx="15">
                  <c:v>231.82301039700303</c:v>
                </c:pt>
                <c:pt idx="16">
                  <c:v>211.88120563863399</c:v>
                </c:pt>
                <c:pt idx="17">
                  <c:v>178.00249313936123</c:v>
                </c:pt>
                <c:pt idx="18">
                  <c:v>131.91805013666036</c:v>
                </c:pt>
                <c:pt idx="19">
                  <c:v>69.856872161463528</c:v>
                </c:pt>
                <c:pt idx="20">
                  <c:v>-7.7583731458517241E-2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7-49D9-AFE6-73A16B830091}"/>
            </c:ext>
          </c:extLst>
        </c:ser>
        <c:ser>
          <c:idx val="1"/>
          <c:order val="1"/>
          <c:tx>
            <c:strRef>
              <c:f>'SW Buoyancy Ballast'!$I$10</c:f>
              <c:strCache>
                <c:ptCount val="1"/>
                <c:pt idx="0">
                  <c:v>Area_WL [m^2]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Ballast'!$I$11:$I$31</c:f>
              <c:numCache>
                <c:formatCode>0.00</c:formatCode>
                <c:ptCount val="21"/>
                <c:pt idx="0">
                  <c:v>4.0889651818162909</c:v>
                </c:pt>
                <c:pt idx="1">
                  <c:v>43.402784814125312</c:v>
                </c:pt>
                <c:pt idx="2">
                  <c:v>99.078676376050836</c:v>
                </c:pt>
                <c:pt idx="3">
                  <c:v>153.52025997601754</c:v>
                </c:pt>
                <c:pt idx="4">
                  <c:v>199.68277745177912</c:v>
                </c:pt>
                <c:pt idx="5">
                  <c:v>233.29763157002154</c:v>
                </c:pt>
                <c:pt idx="6">
                  <c:v>253.0823262936276</c:v>
                </c:pt>
                <c:pt idx="7">
                  <c:v>261.60400059977781</c:v>
                </c:pt>
                <c:pt idx="8">
                  <c:v>263.50846183417821</c:v>
                </c:pt>
                <c:pt idx="9">
                  <c:v>263.44662941536632</c:v>
                </c:pt>
                <c:pt idx="10">
                  <c:v>263.38482198336129</c:v>
                </c:pt>
                <c:pt idx="11">
                  <c:v>263.32303956347505</c:v>
                </c:pt>
                <c:pt idx="12">
                  <c:v>263.26128218027219</c:v>
                </c:pt>
                <c:pt idx="13">
                  <c:v>262.22888727810954</c:v>
                </c:pt>
                <c:pt idx="14">
                  <c:v>258.53747815475896</c:v>
                </c:pt>
                <c:pt idx="15">
                  <c:v>249.21003854182339</c:v>
                </c:pt>
                <c:pt idx="16">
                  <c:v>228.16504045236317</c:v>
                </c:pt>
                <c:pt idx="17">
                  <c:v>192.08889603738504</c:v>
                </c:pt>
                <c:pt idx="18">
                  <c:v>142.43198908110554</c:v>
                </c:pt>
                <c:pt idx="19">
                  <c:v>75.483254609438475</c:v>
                </c:pt>
                <c:pt idx="20">
                  <c:v>1.8413564452917079E-2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17-49D9-AFE6-73A16B830091}"/>
            </c:ext>
          </c:extLst>
        </c:ser>
        <c:ser>
          <c:idx val="2"/>
          <c:order val="2"/>
          <c:tx>
            <c:strRef>
              <c:f>'SW Buoyancy Ballast'!$J$10</c:f>
              <c:strCache>
                <c:ptCount val="1"/>
                <c:pt idx="0">
                  <c:v>Area_WLc [m^2]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Ballast'!$J$11:$J$31</c:f>
              <c:numCache>
                <c:formatCode>0.00</c:formatCode>
                <c:ptCount val="21"/>
                <c:pt idx="0">
                  <c:v>6.0990658671558373</c:v>
                </c:pt>
                <c:pt idx="1">
                  <c:v>49.772222688745607</c:v>
                </c:pt>
                <c:pt idx="2">
                  <c:v>109.4319639670485</c:v>
                </c:pt>
                <c:pt idx="3">
                  <c:v>166.81476962531619</c:v>
                </c:pt>
                <c:pt idx="4">
                  <c:v>214.80879893681978</c:v>
                </c:pt>
                <c:pt idx="5">
                  <c:v>249.35736906056152</c:v>
                </c:pt>
                <c:pt idx="6">
                  <c:v>269.47096018775466</c:v>
                </c:pt>
                <c:pt idx="7">
                  <c:v>278.19717853950237</c:v>
                </c:pt>
                <c:pt idx="8">
                  <c:v>280.24027410356018</c:v>
                </c:pt>
                <c:pt idx="9">
                  <c:v>280.33163274571717</c:v>
                </c:pt>
                <c:pt idx="10">
                  <c:v>280.42299138787428</c:v>
                </c:pt>
                <c:pt idx="11">
                  <c:v>280.51435003003138</c:v>
                </c:pt>
                <c:pt idx="12">
                  <c:v>280.60570867218831</c:v>
                </c:pt>
                <c:pt idx="13">
                  <c:v>279.73077000481265</c:v>
                </c:pt>
                <c:pt idx="14">
                  <c:v>276.12292453310118</c:v>
                </c:pt>
                <c:pt idx="15">
                  <c:v>266.70096087497598</c:v>
                </c:pt>
                <c:pt idx="16">
                  <c:v>244.86974043788945</c:v>
                </c:pt>
                <c:pt idx="17">
                  <c:v>206.84334586125698</c:v>
                </c:pt>
                <c:pt idx="18">
                  <c:v>153.67343789328129</c:v>
                </c:pt>
                <c:pt idx="19">
                  <c:v>81.655685813740945</c:v>
                </c:pt>
                <c:pt idx="20">
                  <c:v>0.21976627591347511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17-49D9-AFE6-73A16B83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072239"/>
        <c:axId val="319088559"/>
      </c:lineChart>
      <c:catAx>
        <c:axId val="31907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9088559"/>
        <c:crosses val="autoZero"/>
        <c:auto val="1"/>
        <c:lblAlgn val="ctr"/>
        <c:lblOffset val="100"/>
        <c:noMultiLvlLbl val="0"/>
      </c:catAx>
      <c:valAx>
        <c:axId val="3190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907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7580927384076973E-2"/>
          <c:y val="0.18486829564083898"/>
          <c:w val="0.90297462817147855"/>
          <c:h val="0.72235969478066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Sagging Ballast'!$D$11:$D$31</c:f>
              <c:numCache>
                <c:formatCode>General</c:formatCode>
                <c:ptCount val="21"/>
                <c:pt idx="0">
                  <c:v>10</c:v>
                </c:pt>
                <c:pt idx="1">
                  <c:v>9.9600000000000009</c:v>
                </c:pt>
                <c:pt idx="2">
                  <c:v>9.85</c:v>
                </c:pt>
                <c:pt idx="3">
                  <c:v>9.68</c:v>
                </c:pt>
                <c:pt idx="4">
                  <c:v>9.44</c:v>
                </c:pt>
                <c:pt idx="5">
                  <c:v>9.15</c:v>
                </c:pt>
                <c:pt idx="6">
                  <c:v>8.84</c:v>
                </c:pt>
                <c:pt idx="7">
                  <c:v>8.5299999999999994</c:v>
                </c:pt>
                <c:pt idx="8">
                  <c:v>8.26</c:v>
                </c:pt>
                <c:pt idx="9">
                  <c:v>8.07</c:v>
                </c:pt>
                <c:pt idx="10">
                  <c:v>8</c:v>
                </c:pt>
                <c:pt idx="11">
                  <c:v>8.07</c:v>
                </c:pt>
                <c:pt idx="12">
                  <c:v>8.26</c:v>
                </c:pt>
                <c:pt idx="13">
                  <c:v>8.5299999999999994</c:v>
                </c:pt>
                <c:pt idx="14">
                  <c:v>8.84</c:v>
                </c:pt>
                <c:pt idx="15">
                  <c:v>9.15</c:v>
                </c:pt>
                <c:pt idx="16">
                  <c:v>9.44</c:v>
                </c:pt>
                <c:pt idx="17">
                  <c:v>9.68</c:v>
                </c:pt>
                <c:pt idx="18">
                  <c:v>9.85</c:v>
                </c:pt>
                <c:pt idx="19">
                  <c:v>9.9600000000000009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3-43D4-BD5B-4E2E0E88B7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Sagging Ballast'!$E$11:$E$31</c:f>
              <c:numCache>
                <c:formatCode>General</c:formatCode>
                <c:ptCount val="21"/>
                <c:pt idx="0">
                  <c:v>11.281007928581303</c:v>
                </c:pt>
                <c:pt idx="1">
                  <c:v>11.242736724351674</c:v>
                </c:pt>
                <c:pt idx="2">
                  <c:v>11.134465520122044</c:v>
                </c:pt>
                <c:pt idx="3">
                  <c:v>10.966194315892416</c:v>
                </c:pt>
                <c:pt idx="4">
                  <c:v>10.727923111662786</c:v>
                </c:pt>
                <c:pt idx="5">
                  <c:v>10.439651907433158</c:v>
                </c:pt>
                <c:pt idx="6">
                  <c:v>10.131380703203527</c:v>
                </c:pt>
                <c:pt idx="7">
                  <c:v>9.8231094989738992</c:v>
                </c:pt>
                <c:pt idx="8">
                  <c:v>9.55483829474427</c:v>
                </c:pt>
                <c:pt idx="9">
                  <c:v>9.366567090514641</c:v>
                </c:pt>
                <c:pt idx="10">
                  <c:v>9.2982958862850111</c:v>
                </c:pt>
                <c:pt idx="11">
                  <c:v>9.3700246820553819</c:v>
                </c:pt>
                <c:pt idx="12">
                  <c:v>9.5617534778257536</c:v>
                </c:pt>
                <c:pt idx="13">
                  <c:v>9.8334822735961236</c:v>
                </c:pt>
                <c:pt idx="14">
                  <c:v>10.145211069366495</c:v>
                </c:pt>
                <c:pt idx="15">
                  <c:v>10.456939865136865</c:v>
                </c:pt>
                <c:pt idx="16">
                  <c:v>10.748668660907237</c:v>
                </c:pt>
                <c:pt idx="17">
                  <c:v>10.990397456677607</c:v>
                </c:pt>
                <c:pt idx="18">
                  <c:v>11.162126252447978</c:v>
                </c:pt>
                <c:pt idx="19">
                  <c:v>11.273855048218349</c:v>
                </c:pt>
                <c:pt idx="20">
                  <c:v>11.315583843988719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3-43D4-BD5B-4E2E0E88B7D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Sagging Ballast'!$F$11:$F$31</c:f>
              <c:numCache>
                <c:formatCode>0.00</c:formatCode>
                <c:ptCount val="21"/>
                <c:pt idx="0">
                  <c:v>12</c:v>
                </c:pt>
                <c:pt idx="1">
                  <c:v>11.96</c:v>
                </c:pt>
                <c:pt idx="2">
                  <c:v>11.85</c:v>
                </c:pt>
                <c:pt idx="3">
                  <c:v>11.68</c:v>
                </c:pt>
                <c:pt idx="4">
                  <c:v>11.44</c:v>
                </c:pt>
                <c:pt idx="5">
                  <c:v>11.15</c:v>
                </c:pt>
                <c:pt idx="6">
                  <c:v>10.84</c:v>
                </c:pt>
                <c:pt idx="7">
                  <c:v>10.53</c:v>
                </c:pt>
                <c:pt idx="8">
                  <c:v>10.26</c:v>
                </c:pt>
                <c:pt idx="9">
                  <c:v>10.07</c:v>
                </c:pt>
                <c:pt idx="10">
                  <c:v>10</c:v>
                </c:pt>
                <c:pt idx="11">
                  <c:v>10.07</c:v>
                </c:pt>
                <c:pt idx="12">
                  <c:v>10.26</c:v>
                </c:pt>
                <c:pt idx="13">
                  <c:v>10.53</c:v>
                </c:pt>
                <c:pt idx="14">
                  <c:v>10.84</c:v>
                </c:pt>
                <c:pt idx="15">
                  <c:v>11.15</c:v>
                </c:pt>
                <c:pt idx="16">
                  <c:v>11.44</c:v>
                </c:pt>
                <c:pt idx="17">
                  <c:v>11.68</c:v>
                </c:pt>
                <c:pt idx="18">
                  <c:v>11.85</c:v>
                </c:pt>
                <c:pt idx="19">
                  <c:v>11.96</c:v>
                </c:pt>
                <c:pt idx="2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3-43D4-BD5B-4E2E0E88B7D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'SW Buoyancy Sagging Ballast'!$M$11:$M$31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53-43D4-BD5B-4E2E0E88B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45664"/>
        <c:axId val="1720357184"/>
      </c:lineChart>
      <c:catAx>
        <c:axId val="172034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57184"/>
        <c:crosses val="autoZero"/>
        <c:auto val="1"/>
        <c:lblAlgn val="ctr"/>
        <c:lblOffset val="100"/>
        <c:noMultiLvlLbl val="0"/>
      </c:catAx>
      <c:valAx>
        <c:axId val="172035718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'SW Buoyancy Sagging Ballast'!$J$11:$J$31</c:f>
              <c:numCache>
                <c:formatCode>0.00</c:formatCode>
                <c:ptCount val="21"/>
                <c:pt idx="0">
                  <c:v>3.3404009391240543</c:v>
                </c:pt>
                <c:pt idx="1">
                  <c:v>40.449551748557639</c:v>
                </c:pt>
                <c:pt idx="2">
                  <c:v>92.451410953753779</c:v>
                </c:pt>
                <c:pt idx="3">
                  <c:v>141.48349417888508</c:v>
                </c:pt>
                <c:pt idx="4">
                  <c:v>180.32925866935747</c:v>
                </c:pt>
                <c:pt idx="5">
                  <c:v>205.50334183187186</c:v>
                </c:pt>
                <c:pt idx="6">
                  <c:v>216.92598785570689</c:v>
                </c:pt>
                <c:pt idx="7">
                  <c:v>217.36583529314296</c:v>
                </c:pt>
                <c:pt idx="8">
                  <c:v>212.41819271143737</c:v>
                </c:pt>
                <c:pt idx="9">
                  <c:v>207.55669428583175</c:v>
                </c:pt>
                <c:pt idx="10">
                  <c:v>205.82591493577883</c:v>
                </c:pt>
                <c:pt idx="11">
                  <c:v>207.75014189544819</c:v>
                </c:pt>
                <c:pt idx="12">
                  <c:v>212.80425832319534</c:v>
                </c:pt>
                <c:pt idx="13">
                  <c:v>218.95888482705661</c:v>
                </c:pt>
                <c:pt idx="14">
                  <c:v>223.66109269697031</c:v>
                </c:pt>
                <c:pt idx="15">
                  <c:v>222.91845399931833</c:v>
                </c:pt>
                <c:pt idx="16">
                  <c:v>210.44050631336555</c:v>
                </c:pt>
                <c:pt idx="17">
                  <c:v>181.77204657624478</c:v>
                </c:pt>
                <c:pt idx="18">
                  <c:v>137.43824753431844</c:v>
                </c:pt>
                <c:pt idx="19">
                  <c:v>73.773123278907363</c:v>
                </c:pt>
                <c:pt idx="20">
                  <c:v>-1.0676412592143272E-2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C4-4D82-ADC9-1F0ECC54992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'SW Buoyancy Sagging Ballast'!$K$11:$K$31</c:f>
              <c:numCache>
                <c:formatCode>0.00</c:formatCode>
                <c:ptCount val="21"/>
                <c:pt idx="0">
                  <c:v>7.8126848188332403</c:v>
                </c:pt>
                <c:pt idx="1">
                  <c:v>54.099817273472802</c:v>
                </c:pt>
                <c:pt idx="2">
                  <c:v>114.12198171401621</c:v>
                </c:pt>
                <c:pt idx="3">
                  <c:v>168.93042450266617</c:v>
                </c:pt>
                <c:pt idx="4">
                  <c:v>211.33092080815067</c:v>
                </c:pt>
                <c:pt idx="5">
                  <c:v>238.33047445551222</c:v>
                </c:pt>
                <c:pt idx="6">
                  <c:v>250.35325089922529</c:v>
                </c:pt>
                <c:pt idx="7">
                  <c:v>251.01294400376943</c:v>
                </c:pt>
                <c:pt idx="8">
                  <c:v>246.11695054292321</c:v>
                </c:pt>
                <c:pt idx="9">
                  <c:v>241.3204889440575</c:v>
                </c:pt>
                <c:pt idx="10">
                  <c:v>239.64110427582889</c:v>
                </c:pt>
                <c:pt idx="11">
                  <c:v>241.59940291010011</c:v>
                </c:pt>
                <c:pt idx="12">
                  <c:v>246.67301158362295</c:v>
                </c:pt>
                <c:pt idx="13">
                  <c:v>252.84585739802353</c:v>
                </c:pt>
                <c:pt idx="14">
                  <c:v>257.40135587657733</c:v>
                </c:pt>
                <c:pt idx="15">
                  <c:v>256.1782640867163</c:v>
                </c:pt>
                <c:pt idx="16">
                  <c:v>241.93933644885774</c:v>
                </c:pt>
                <c:pt idx="17">
                  <c:v>209.39805068188616</c:v>
                </c:pt>
                <c:pt idx="18">
                  <c:v>158.37636367446916</c:v>
                </c:pt>
                <c:pt idx="19">
                  <c:v>85.23309064833218</c:v>
                </c:pt>
                <c:pt idx="20">
                  <c:v>0.41012459925865241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C4-4D82-ADC9-1F0ECC54992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'SW Buoyancy Sagging Ballast'!$L$11:$L$31</c:f>
              <c:numCache>
                <c:formatCode>0.00</c:formatCode>
                <c:ptCount val="21"/>
                <c:pt idx="0">
                  <c:v>11.560521526605537</c:v>
                </c:pt>
                <c:pt idx="1">
                  <c:v>63.339484712229414</c:v>
                </c:pt>
                <c:pt idx="2">
                  <c:v>127.41868357396964</c:v>
                </c:pt>
                <c:pt idx="3">
                  <c:v>184.93498155824079</c:v>
                </c:pt>
                <c:pt idx="4">
                  <c:v>228.86621600612298</c:v>
                </c:pt>
                <c:pt idx="5">
                  <c:v>256.54932787938128</c:v>
                </c:pt>
                <c:pt idx="6">
                  <c:v>268.69418815289828</c:v>
                </c:pt>
                <c:pt idx="7">
                  <c:v>269.3700859842931</c:v>
                </c:pt>
                <c:pt idx="8">
                  <c:v>264.41822282881509</c:v>
                </c:pt>
                <c:pt idx="9">
                  <c:v>259.58216214530427</c:v>
                </c:pt>
                <c:pt idx="10">
                  <c:v>257.85918622658033</c:v>
                </c:pt>
                <c:pt idx="11">
                  <c:v>259.76811184879284</c:v>
                </c:pt>
                <c:pt idx="12">
                  <c:v>264.78845708755085</c:v>
                </c:pt>
                <c:pt idx="13">
                  <c:v>270.91296078809455</c:v>
                </c:pt>
                <c:pt idx="14">
                  <c:v>275.34780468753212</c:v>
                </c:pt>
                <c:pt idx="15">
                  <c:v>273.84013153983591</c:v>
                </c:pt>
                <c:pt idx="16">
                  <c:v>258.66885557977787</c:v>
                </c:pt>
                <c:pt idx="17">
                  <c:v>224.11803190571464</c:v>
                </c:pt>
                <c:pt idx="18">
                  <c:v>169.5786447848657</c:v>
                </c:pt>
                <c:pt idx="19">
                  <c:v>91.464696080876678</c:v>
                </c:pt>
                <c:pt idx="20">
                  <c:v>0.82422627543163629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C4-4D82-ADC9-1F0ECC549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8959"/>
        <c:axId val="129866239"/>
      </c:scatterChart>
      <c:valAx>
        <c:axId val="1298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66239"/>
        <c:crosses val="autoZero"/>
        <c:crossBetween val="midCat"/>
      </c:valAx>
      <c:valAx>
        <c:axId val="1298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7580927384076973E-2"/>
          <c:y val="0.18486829564083898"/>
          <c:w val="0.90297462817147855"/>
          <c:h val="0.72235969478066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'SW Buoyancy Hogging Ballast'!$D$11:$D$31</c:f>
              <c:numCache>
                <c:formatCode>General</c:formatCode>
                <c:ptCount val="21"/>
                <c:pt idx="0">
                  <c:v>8</c:v>
                </c:pt>
                <c:pt idx="1">
                  <c:v>8.0399999999999991</c:v>
                </c:pt>
                <c:pt idx="2">
                  <c:v>8.15</c:v>
                </c:pt>
                <c:pt idx="3">
                  <c:v>8.32</c:v>
                </c:pt>
                <c:pt idx="4">
                  <c:v>8.56</c:v>
                </c:pt>
                <c:pt idx="5">
                  <c:v>8.85</c:v>
                </c:pt>
                <c:pt idx="6">
                  <c:v>9.16</c:v>
                </c:pt>
                <c:pt idx="7">
                  <c:v>9.4700000000000006</c:v>
                </c:pt>
                <c:pt idx="8">
                  <c:v>9.74</c:v>
                </c:pt>
                <c:pt idx="9">
                  <c:v>9.93</c:v>
                </c:pt>
                <c:pt idx="10">
                  <c:v>10</c:v>
                </c:pt>
                <c:pt idx="11">
                  <c:v>9.93</c:v>
                </c:pt>
                <c:pt idx="12">
                  <c:v>9.74</c:v>
                </c:pt>
                <c:pt idx="13">
                  <c:v>9.4700000000000006</c:v>
                </c:pt>
                <c:pt idx="14">
                  <c:v>9.16</c:v>
                </c:pt>
                <c:pt idx="15">
                  <c:v>8.85</c:v>
                </c:pt>
                <c:pt idx="16">
                  <c:v>8.56</c:v>
                </c:pt>
                <c:pt idx="17">
                  <c:v>8.32</c:v>
                </c:pt>
                <c:pt idx="18">
                  <c:v>8.15</c:v>
                </c:pt>
                <c:pt idx="19">
                  <c:v>8.0399999999999991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B-4D65-BC83-104C7FE4CB9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'SW Buoyancy Hogging Ballast'!$E$11:$E$31</c:f>
              <c:numCache>
                <c:formatCode>General</c:formatCode>
                <c:ptCount val="21"/>
                <c:pt idx="0">
                  <c:v>9.1825231961283098</c:v>
                </c:pt>
                <c:pt idx="1">
                  <c:v>9.21498742764763</c:v>
                </c:pt>
                <c:pt idx="2">
                  <c:v>9.3174516591669523</c:v>
                </c:pt>
                <c:pt idx="3">
                  <c:v>9.4799158906862733</c:v>
                </c:pt>
                <c:pt idx="4">
                  <c:v>9.7123801222055945</c:v>
                </c:pt>
                <c:pt idx="5">
                  <c:v>9.9948443537249148</c:v>
                </c:pt>
                <c:pt idx="6">
                  <c:v>10.297308585244236</c:v>
                </c:pt>
                <c:pt idx="7">
                  <c:v>10.599772816763558</c:v>
                </c:pt>
                <c:pt idx="8">
                  <c:v>10.862237048282879</c:v>
                </c:pt>
                <c:pt idx="9">
                  <c:v>11.044701279802199</c:v>
                </c:pt>
                <c:pt idx="10">
                  <c:v>11.10716551132152</c:v>
                </c:pt>
                <c:pt idx="11">
                  <c:v>11.029629742840841</c:v>
                </c:pt>
                <c:pt idx="12">
                  <c:v>10.832093974360163</c:v>
                </c:pt>
                <c:pt idx="13">
                  <c:v>10.554558205879484</c:v>
                </c:pt>
                <c:pt idx="14">
                  <c:v>10.237022437398805</c:v>
                </c:pt>
                <c:pt idx="15">
                  <c:v>9.9194866689181254</c:v>
                </c:pt>
                <c:pt idx="16">
                  <c:v>9.6219509004374473</c:v>
                </c:pt>
                <c:pt idx="17">
                  <c:v>9.3744151319567681</c:v>
                </c:pt>
                <c:pt idx="18">
                  <c:v>9.1968793634760893</c:v>
                </c:pt>
                <c:pt idx="19">
                  <c:v>9.0793435949954091</c:v>
                </c:pt>
                <c:pt idx="20">
                  <c:v>9.031807826514731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B-4D65-BC83-104C7FE4CB9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'SW Buoyancy Hogging Ballast'!$F$11:$F$31</c:f>
              <c:numCache>
                <c:formatCode>0.00</c:formatCode>
                <c:ptCount val="21"/>
                <c:pt idx="0">
                  <c:v>10</c:v>
                </c:pt>
                <c:pt idx="1">
                  <c:v>10.039999999999999</c:v>
                </c:pt>
                <c:pt idx="2">
                  <c:v>10.15</c:v>
                </c:pt>
                <c:pt idx="3">
                  <c:v>10.32</c:v>
                </c:pt>
                <c:pt idx="4">
                  <c:v>10.56</c:v>
                </c:pt>
                <c:pt idx="5">
                  <c:v>10.85</c:v>
                </c:pt>
                <c:pt idx="6">
                  <c:v>11.16</c:v>
                </c:pt>
                <c:pt idx="7">
                  <c:v>11.47</c:v>
                </c:pt>
                <c:pt idx="8">
                  <c:v>11.74</c:v>
                </c:pt>
                <c:pt idx="9">
                  <c:v>11.93</c:v>
                </c:pt>
                <c:pt idx="10">
                  <c:v>12</c:v>
                </c:pt>
                <c:pt idx="11">
                  <c:v>11.93</c:v>
                </c:pt>
                <c:pt idx="12">
                  <c:v>11.74</c:v>
                </c:pt>
                <c:pt idx="13">
                  <c:v>11.47</c:v>
                </c:pt>
                <c:pt idx="14">
                  <c:v>11.16</c:v>
                </c:pt>
                <c:pt idx="15">
                  <c:v>10.85</c:v>
                </c:pt>
                <c:pt idx="16">
                  <c:v>10.56</c:v>
                </c:pt>
                <c:pt idx="17">
                  <c:v>10.32</c:v>
                </c:pt>
                <c:pt idx="18">
                  <c:v>10.15</c:v>
                </c:pt>
                <c:pt idx="19">
                  <c:v>10.039999999999999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5B-4D65-BC83-104C7FE4CB9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'SW Buoyancy Hogging Ballast'!$M$11:$M$31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5B-4D65-BC83-104C7FE4C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45664"/>
        <c:axId val="1720357184"/>
      </c:lineChart>
      <c:catAx>
        <c:axId val="172034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57184"/>
        <c:crosses val="autoZero"/>
        <c:auto val="1"/>
        <c:lblAlgn val="ctr"/>
        <c:lblOffset val="100"/>
        <c:noMultiLvlLbl val="0"/>
      </c:catAx>
      <c:valAx>
        <c:axId val="172035718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'SW Buoyancy Hogging Ballast'!$J$11:$J$31</c:f>
              <c:numCache>
                <c:formatCode>0.00</c:formatCode>
                <c:ptCount val="21"/>
                <c:pt idx="0">
                  <c:v>0.28072412228083354</c:v>
                </c:pt>
                <c:pt idx="1">
                  <c:v>25.716922242274233</c:v>
                </c:pt>
                <c:pt idx="2">
                  <c:v>67.895148408756654</c:v>
                </c:pt>
                <c:pt idx="3">
                  <c:v>114.52401205315128</c:v>
                </c:pt>
                <c:pt idx="4">
                  <c:v>159.75472255844366</c:v>
                </c:pt>
                <c:pt idx="5">
                  <c:v>197.92133836284196</c:v>
                </c:pt>
                <c:pt idx="6">
                  <c:v>225.21160357920937</c:v>
                </c:pt>
                <c:pt idx="7">
                  <c:v>241.83563319712965</c:v>
                </c:pt>
                <c:pt idx="8">
                  <c:v>250.92489205408361</c:v>
                </c:pt>
                <c:pt idx="9">
                  <c:v>255.94975046271151</c:v>
                </c:pt>
                <c:pt idx="10">
                  <c:v>257.85918622658033</c:v>
                </c:pt>
                <c:pt idx="11">
                  <c:v>256.13632586906715</c:v>
                </c:pt>
                <c:pt idx="12">
                  <c:v>251.29975434809845</c:v>
                </c:pt>
                <c:pt idx="13">
                  <c:v>243.4092943225051</c:v>
                </c:pt>
                <c:pt idx="14">
                  <c:v>231.94038165545217</c:v>
                </c:pt>
                <c:pt idx="15">
                  <c:v>215.28651359580473</c:v>
                </c:pt>
                <c:pt idx="16">
                  <c:v>189.34121719478352</c:v>
                </c:pt>
                <c:pt idx="17">
                  <c:v>153.40419531040683</c:v>
                </c:pt>
                <c:pt idx="18">
                  <c:v>110.79120592703323</c:v>
                </c:pt>
                <c:pt idx="19">
                  <c:v>57.602820141434421</c:v>
                </c:pt>
                <c:pt idx="20">
                  <c:v>-0.10318011945079072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46-4EA9-9D29-6D68ECA207D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'SW Buoyancy Hogging Ballast'!$K$11:$K$31</c:f>
              <c:numCache>
                <c:formatCode>0.00</c:formatCode>
                <c:ptCount val="21"/>
                <c:pt idx="0">
                  <c:v>1.6328630752515665</c:v>
                </c:pt>
                <c:pt idx="1">
                  <c:v>34.006359786273876</c:v>
                </c:pt>
                <c:pt idx="2">
                  <c:v>84.267796571159934</c:v>
                </c:pt>
                <c:pt idx="3">
                  <c:v>137.38120063963245</c:v>
                </c:pt>
                <c:pt idx="4">
                  <c:v>186.80228587040816</c:v>
                </c:pt>
                <c:pt idx="5">
                  <c:v>226.9691899047933</c:v>
                </c:pt>
                <c:pt idx="6">
                  <c:v>254.64721097632739</c:v>
                </c:pt>
                <c:pt idx="7">
                  <c:v>271.18148898339746</c:v>
                </c:pt>
                <c:pt idx="8">
                  <c:v>280.03889518613431</c:v>
                </c:pt>
                <c:pt idx="9">
                  <c:v>284.86383337366112</c:v>
                </c:pt>
                <c:pt idx="10">
                  <c:v>286.57562425906667</c:v>
                </c:pt>
                <c:pt idx="11">
                  <c:v>284.65498491757972</c:v>
                </c:pt>
                <c:pt idx="12">
                  <c:v>279.62266692663337</c:v>
                </c:pt>
                <c:pt idx="13">
                  <c:v>271.54982835939876</c:v>
                </c:pt>
                <c:pt idx="14">
                  <c:v>259.77271603653065</c:v>
                </c:pt>
                <c:pt idx="15">
                  <c:v>242.4970195463672</c:v>
                </c:pt>
                <c:pt idx="16">
                  <c:v>214.81032256512461</c:v>
                </c:pt>
                <c:pt idx="17">
                  <c:v>175.37539839374136</c:v>
                </c:pt>
                <c:pt idx="18">
                  <c:v>127.15320162534871</c:v>
                </c:pt>
                <c:pt idx="19">
                  <c:v>66.30358026118283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46-4EA9-9D29-6D68ECA207D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'SW Buoyancy Hogging Ballast'!$L$11:$L$31</c:f>
              <c:numCache>
                <c:formatCode>0.00</c:formatCode>
                <c:ptCount val="21"/>
                <c:pt idx="0">
                  <c:v>3.3404009391240543</c:v>
                </c:pt>
                <c:pt idx="1">
                  <c:v>41.202417274366191</c:v>
                </c:pt>
                <c:pt idx="2">
                  <c:v>97.265362655773515</c:v>
                </c:pt>
                <c:pt idx="3">
                  <c:v>154.91132290725153</c:v>
                </c:pt>
                <c:pt idx="4">
                  <c:v>207.23438124261813</c:v>
                </c:pt>
                <c:pt idx="5">
                  <c:v>248.84417624794591</c:v>
                </c:pt>
                <c:pt idx="6">
                  <c:v>276.98205357713414</c:v>
                </c:pt>
                <c:pt idx="7">
                  <c:v>293.78232815876049</c:v>
                </c:pt>
                <c:pt idx="8">
                  <c:v>302.83153480788457</c:v>
                </c:pt>
                <c:pt idx="9">
                  <c:v>307.86555723373868</c:v>
                </c:pt>
                <c:pt idx="10">
                  <c:v>309.77855508321665</c:v>
                </c:pt>
                <c:pt idx="11">
                  <c:v>308.046166948208</c:v>
                </c:pt>
                <c:pt idx="12">
                  <c:v>303.19296055394443</c:v>
                </c:pt>
                <c:pt idx="13">
                  <c:v>295.3030642954991</c:v>
                </c:pt>
                <c:pt idx="14">
                  <c:v>283.61793427128958</c:v>
                </c:pt>
                <c:pt idx="15">
                  <c:v>266.19123647754992</c:v>
                </c:pt>
                <c:pt idx="16">
                  <c:v>237.38666869433297</c:v>
                </c:pt>
                <c:pt idx="17">
                  <c:v>195.21939650377379</c:v>
                </c:pt>
                <c:pt idx="18">
                  <c:v>142.18802660302867</c:v>
                </c:pt>
                <c:pt idx="19">
                  <c:v>74.458164997047945</c:v>
                </c:pt>
                <c:pt idx="20">
                  <c:v>-1.0676412592143272E-2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46-4EA9-9D29-6D68ECA20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48959"/>
        <c:axId val="129866239"/>
      </c:scatterChart>
      <c:valAx>
        <c:axId val="1298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66239"/>
        <c:crosses val="autoZero"/>
        <c:crossBetween val="midCat"/>
      </c:valAx>
      <c:valAx>
        <c:axId val="1298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8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Distribuition</a:t>
            </a:r>
            <a:r>
              <a:rPr lang="en-US" baseline="0"/>
              <a:t> of displacement (Cargo)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'SF and BM (Still Water)'!$D$7:$D$26</c:f>
              <c:numCache>
                <c:formatCode>General</c:formatCode>
                <c:ptCount val="20"/>
                <c:pt idx="0">
                  <c:v>300.39860096479941</c:v>
                </c:pt>
                <c:pt idx="1">
                  <c:v>821.50077672160546</c:v>
                </c:pt>
                <c:pt idx="2">
                  <c:v>1399.9306347300419</c:v>
                </c:pt>
                <c:pt idx="3">
                  <c:v>1913.8806355341017</c:v>
                </c:pt>
                <c:pt idx="4">
                  <c:v>2311.6555058037925</c:v>
                </c:pt>
                <c:pt idx="5">
                  <c:v>2571.4806563989805</c:v>
                </c:pt>
                <c:pt idx="6">
                  <c:v>2705.7297120662724</c:v>
                </c:pt>
                <c:pt idx="7">
                  <c:v>2752.9945369063848</c:v>
                </c:pt>
                <c:pt idx="8">
                  <c:v>2758.7734942196207</c:v>
                </c:pt>
                <c:pt idx="9">
                  <c:v>2755.2305156069879</c:v>
                </c:pt>
                <c:pt idx="10">
                  <c:v>2751.6881922151306</c:v>
                </c:pt>
                <c:pt idx="11">
                  <c:v>2748.1465298581275</c:v>
                </c:pt>
                <c:pt idx="12">
                  <c:v>2739.9805982968796</c:v>
                </c:pt>
                <c:pt idx="13">
                  <c:v>2713.9975419492243</c:v>
                </c:pt>
                <c:pt idx="14">
                  <c:v>2646.7676476375796</c:v>
                </c:pt>
                <c:pt idx="15">
                  <c:v>2491.3408207224011</c:v>
                </c:pt>
                <c:pt idx="16">
                  <c:v>2197.2877571944359</c:v>
                </c:pt>
                <c:pt idx="17">
                  <c:v>1751.3879892067544</c:v>
                </c:pt>
                <c:pt idx="18">
                  <c:v>1141.6154590226204</c:v>
                </c:pt>
                <c:pt idx="19">
                  <c:v>396.94907212089413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0-4B14-826D-3CE0E310D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0784239"/>
        <c:axId val="1597195359"/>
      </c:barChart>
      <c:catAx>
        <c:axId val="181078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7195359"/>
        <c:crosses val="autoZero"/>
        <c:auto val="1"/>
        <c:lblAlgn val="ctr"/>
        <c:lblOffset val="100"/>
        <c:noMultiLvlLbl val="0"/>
      </c:catAx>
      <c:valAx>
        <c:axId val="15971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078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Msw</a:t>
            </a:r>
            <a:r>
              <a:rPr lang="pt-PT" baseline="0"/>
              <a:t> Cargo [t.m]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'SF and BM (Still Water)'!$M$7:$M$27</c:f>
              <c:numCache>
                <c:formatCode>General</c:formatCode>
                <c:ptCount val="21"/>
                <c:pt idx="0">
                  <c:v>0</c:v>
                </c:pt>
                <c:pt idx="1">
                  <c:v>198.65317777899082</c:v>
                </c:pt>
                <c:pt idx="2">
                  <c:v>531.74705347872066</c:v>
                </c:pt>
                <c:pt idx="3">
                  <c:v>-1264.8331757906572</c:v>
                </c:pt>
                <c:pt idx="4">
                  <c:v>-9161.6134294547282</c:v>
                </c:pt>
                <c:pt idx="5">
                  <c:v>-18187.019479978291</c:v>
                </c:pt>
                <c:pt idx="6">
                  <c:v>-21688.632886461724</c:v>
                </c:pt>
                <c:pt idx="7">
                  <c:v>-20592.66332013379</c:v>
                </c:pt>
                <c:pt idx="8">
                  <c:v>-16949.208784391136</c:v>
                </c:pt>
                <c:pt idx="9">
                  <c:v>-12864.004248236088</c:v>
                </c:pt>
                <c:pt idx="10">
                  <c:v>-8725.9521821549843</c:v>
                </c:pt>
                <c:pt idx="11">
                  <c:v>-4496.3116325302999</c:v>
                </c:pt>
                <c:pt idx="12">
                  <c:v>-504.24022448736241</c:v>
                </c:pt>
                <c:pt idx="13">
                  <c:v>2560.7820609579039</c:v>
                </c:pt>
                <c:pt idx="14">
                  <c:v>4777.1930807848039</c:v>
                </c:pt>
                <c:pt idx="15">
                  <c:v>5804.6607454631276</c:v>
                </c:pt>
                <c:pt idx="16">
                  <c:v>5331.7200098484163</c:v>
                </c:pt>
                <c:pt idx="17">
                  <c:v>3663.7471596928635</c:v>
                </c:pt>
                <c:pt idx="18">
                  <c:v>1598.335120225358</c:v>
                </c:pt>
                <c:pt idx="19">
                  <c:v>342.32975820831416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43-4B4D-B999-F3F4E7045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520863"/>
        <c:axId val="1814010703"/>
      </c:scatterChart>
      <c:valAx>
        <c:axId val="1743520863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4010703"/>
        <c:crosses val="autoZero"/>
        <c:crossBetween val="midCat"/>
      </c:valAx>
      <c:valAx>
        <c:axId val="1814010703"/>
        <c:scaling>
          <c:orientation val="minMax"/>
          <c:max val="50000"/>
          <c:min val="-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3520863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Distribution</a:t>
            </a:r>
            <a:r>
              <a:rPr lang="pt-PT" baseline="0"/>
              <a:t> of loading (Cargo)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'SF and BM (Still Water)'!$A$7:$A$26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'SF and BM (Still Water)'!$F$7:$F$26</c:f>
              <c:numCache>
                <c:formatCode>General</c:formatCode>
                <c:ptCount val="20"/>
                <c:pt idx="0">
                  <c:v>112.29626364604229</c:v>
                </c:pt>
                <c:pt idx="1">
                  <c:v>-83.53889510684678</c:v>
                </c:pt>
                <c:pt idx="2">
                  <c:v>-372.00636798814958</c:v>
                </c:pt>
                <c:pt idx="3">
                  <c:v>-932.84925220322884</c:v>
                </c:pt>
                <c:pt idx="4">
                  <c:v>691.43196945253521</c:v>
                </c:pt>
                <c:pt idx="5">
                  <c:v>490.12795440631635</c:v>
                </c:pt>
                <c:pt idx="6">
                  <c:v>493.31225368167679</c:v>
                </c:pt>
                <c:pt idx="7">
                  <c:v>51.604317316124707</c:v>
                </c:pt>
                <c:pt idx="8">
                  <c:v>42.887661381712405</c:v>
                </c:pt>
                <c:pt idx="9">
                  <c:v>-31.583376905549812</c:v>
                </c:pt>
                <c:pt idx="10">
                  <c:v>51.174496380112032</c:v>
                </c:pt>
                <c:pt idx="11">
                  <c:v>-101.99142506069938</c:v>
                </c:pt>
                <c:pt idx="12">
                  <c:v>-96.307852500299759</c:v>
                </c:pt>
                <c:pt idx="13">
                  <c:v>-85.213273835179734</c:v>
                </c:pt>
                <c:pt idx="14">
                  <c:v>-169.1061604212</c:v>
                </c:pt>
                <c:pt idx="15">
                  <c:v>-151.83681290351387</c:v>
                </c:pt>
                <c:pt idx="16">
                  <c:v>-103.78502977901871</c:v>
                </c:pt>
                <c:pt idx="17">
                  <c:v>18.771299444911165</c:v>
                </c:pt>
                <c:pt idx="18">
                  <c:v>154.36381872631046</c:v>
                </c:pt>
                <c:pt idx="19">
                  <c:v>41.074813104433758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A-4865-A6B4-255A443EB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4150271"/>
        <c:axId val="398902512"/>
      </c:barChart>
      <c:catAx>
        <c:axId val="17541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8902512"/>
        <c:crosses val="autoZero"/>
        <c:auto val="1"/>
        <c:lblAlgn val="ctr"/>
        <c:lblOffset val="100"/>
        <c:noMultiLvlLbl val="0"/>
      </c:catAx>
      <c:valAx>
        <c:axId val="398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41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Q Cargo</a:t>
            </a:r>
            <a:r>
              <a:rPr lang="pt-PT" b="1" baseline="0"/>
              <a:t> [t]</a:t>
            </a:r>
            <a:endParaRPr lang="pt-PT" b="1"/>
          </a:p>
        </c:rich>
      </c:tx>
      <c:layout>
        <c:manualLayout>
          <c:xMode val="edge"/>
          <c:yMode val="edge"/>
          <c:x val="0.39658817279483582"/>
          <c:y val="3.7445416671171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'SF and BM (Still Water)'!$J$7:$J$26</c:f>
              <c:numCache>
                <c:formatCode>General</c:formatCode>
                <c:ptCount val="20"/>
                <c:pt idx="0">
                  <c:v>0</c:v>
                </c:pt>
                <c:pt idx="1">
                  <c:v>111.35494360421785</c:v>
                </c:pt>
                <c:pt idx="2">
                  <c:v>26.874728455546638</c:v>
                </c:pt>
                <c:pt idx="3">
                  <c:v>-346.07295957442739</c:v>
                </c:pt>
                <c:pt idx="4">
                  <c:v>-1279.8635318194806</c:v>
                </c:pt>
                <c:pt idx="5">
                  <c:v>-589.37288240876978</c:v>
                </c:pt>
                <c:pt idx="6">
                  <c:v>-100.18624804427792</c:v>
                </c:pt>
                <c:pt idx="7">
                  <c:v>392.18468559557442</c:v>
                </c:pt>
                <c:pt idx="8">
                  <c:v>442.84768286987469</c:v>
                </c:pt>
                <c:pt idx="9">
                  <c:v>484.79402420976265</c:v>
                </c:pt>
                <c:pt idx="10">
                  <c:v>452.2693272623884</c:v>
                </c:pt>
                <c:pt idx="11">
                  <c:v>502.50250360067605</c:v>
                </c:pt>
                <c:pt idx="12">
                  <c:v>399.56975849815223</c:v>
                </c:pt>
                <c:pt idx="13">
                  <c:v>302.32058595602803</c:v>
                </c:pt>
                <c:pt idx="14">
                  <c:v>216.16599207902382</c:v>
                </c:pt>
                <c:pt idx="15">
                  <c:v>46.118511615999395</c:v>
                </c:pt>
                <c:pt idx="16">
                  <c:v>-106.65962132933892</c:v>
                </c:pt>
                <c:pt idx="17">
                  <c:v>-211.38597115018206</c:v>
                </c:pt>
                <c:pt idx="18">
                  <c:v>-193.55599174709533</c:v>
                </c:pt>
                <c:pt idx="19">
                  <c:v>-40.133493062609318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0B-4704-AB11-EA1420D5E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679615"/>
        <c:axId val="1945602015"/>
      </c:scatterChart>
      <c:valAx>
        <c:axId val="143467961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602015"/>
        <c:crosses val="autoZero"/>
        <c:crossBetween val="midCat"/>
      </c:valAx>
      <c:valAx>
        <c:axId val="194560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467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Cargo</a:t>
            </a:r>
            <a:r>
              <a:rPr lang="pt-PT" baseline="0"/>
              <a:t> Condition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'SF and BM (Still Water)'!$M$5</c:f>
              <c:strCache>
                <c:ptCount val="1"/>
                <c:pt idx="0">
                  <c:v>Msw [t.m]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yVal>
            <c:numRef>
              <c:f>'SF and BM (Still Water)'!$M$7:$M$26</c:f>
              <c:numCache>
                <c:formatCode>General</c:formatCode>
                <c:ptCount val="20"/>
                <c:pt idx="0">
                  <c:v>0</c:v>
                </c:pt>
                <c:pt idx="1">
                  <c:v>198.65317777899082</c:v>
                </c:pt>
                <c:pt idx="2">
                  <c:v>531.74705347872066</c:v>
                </c:pt>
                <c:pt idx="3">
                  <c:v>-1264.8331757906572</c:v>
                </c:pt>
                <c:pt idx="4">
                  <c:v>-9161.6134294547282</c:v>
                </c:pt>
                <c:pt idx="5">
                  <c:v>-18187.019479978291</c:v>
                </c:pt>
                <c:pt idx="6">
                  <c:v>-21688.632886461724</c:v>
                </c:pt>
                <c:pt idx="7">
                  <c:v>-20592.66332013379</c:v>
                </c:pt>
                <c:pt idx="8">
                  <c:v>-16949.208784391136</c:v>
                </c:pt>
                <c:pt idx="9">
                  <c:v>-12864.004248236088</c:v>
                </c:pt>
                <c:pt idx="10">
                  <c:v>-8725.9521821549843</c:v>
                </c:pt>
                <c:pt idx="11">
                  <c:v>-4496.3116325302999</c:v>
                </c:pt>
                <c:pt idx="12">
                  <c:v>-504.24022448736241</c:v>
                </c:pt>
                <c:pt idx="13">
                  <c:v>2560.7820609579039</c:v>
                </c:pt>
                <c:pt idx="14">
                  <c:v>4777.1930807848039</c:v>
                </c:pt>
                <c:pt idx="15">
                  <c:v>5804.6607454631276</c:v>
                </c:pt>
                <c:pt idx="16">
                  <c:v>5331.7200098484163</c:v>
                </c:pt>
                <c:pt idx="17">
                  <c:v>3663.7471596928635</c:v>
                </c:pt>
                <c:pt idx="18">
                  <c:v>1598.335120225358</c:v>
                </c:pt>
                <c:pt idx="19">
                  <c:v>342.32975820831416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72-4124-A92B-D90061E7604E}"/>
            </c:ext>
          </c:extLst>
        </c:ser>
        <c:ser>
          <c:idx val="1"/>
          <c:order val="1"/>
          <c:tx>
            <c:strRef>
              <c:f>'SF and BM (Still Water)'!$J$5</c:f>
              <c:strCache>
                <c:ptCount val="1"/>
                <c:pt idx="0">
                  <c:v>Q [t]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yVal>
            <c:numRef>
              <c:f>'SF and BM (Still Water)'!$J$7:$J$26</c:f>
              <c:numCache>
                <c:formatCode>General</c:formatCode>
                <c:ptCount val="20"/>
                <c:pt idx="0">
                  <c:v>0</c:v>
                </c:pt>
                <c:pt idx="1">
                  <c:v>111.35494360421785</c:v>
                </c:pt>
                <c:pt idx="2">
                  <c:v>26.874728455546638</c:v>
                </c:pt>
                <c:pt idx="3">
                  <c:v>-346.07295957442739</c:v>
                </c:pt>
                <c:pt idx="4">
                  <c:v>-1279.8635318194806</c:v>
                </c:pt>
                <c:pt idx="5">
                  <c:v>-589.37288240876978</c:v>
                </c:pt>
                <c:pt idx="6">
                  <c:v>-100.18624804427792</c:v>
                </c:pt>
                <c:pt idx="7">
                  <c:v>392.18468559557442</c:v>
                </c:pt>
                <c:pt idx="8">
                  <c:v>442.84768286987469</c:v>
                </c:pt>
                <c:pt idx="9">
                  <c:v>484.79402420976265</c:v>
                </c:pt>
                <c:pt idx="10">
                  <c:v>452.2693272623884</c:v>
                </c:pt>
                <c:pt idx="11">
                  <c:v>502.50250360067605</c:v>
                </c:pt>
                <c:pt idx="12">
                  <c:v>399.56975849815223</c:v>
                </c:pt>
                <c:pt idx="13">
                  <c:v>302.32058595602803</c:v>
                </c:pt>
                <c:pt idx="14">
                  <c:v>216.16599207902382</c:v>
                </c:pt>
                <c:pt idx="15">
                  <c:v>46.118511615999395</c:v>
                </c:pt>
                <c:pt idx="16">
                  <c:v>-106.65962132933892</c:v>
                </c:pt>
                <c:pt idx="17">
                  <c:v>-211.38597115018206</c:v>
                </c:pt>
                <c:pt idx="18">
                  <c:v>-193.55599174709533</c:v>
                </c:pt>
                <c:pt idx="19">
                  <c:v>-40.133493062609318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72-4124-A92B-D90061E76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146911"/>
        <c:axId val="1396468063"/>
      </c:scatterChart>
      <c:valAx>
        <c:axId val="1754146911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6468063"/>
        <c:crosses val="autoZero"/>
        <c:crossBetween val="midCat"/>
        <c:majorUnit val="1"/>
      </c:valAx>
      <c:valAx>
        <c:axId val="139646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414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Ballast</a:t>
            </a:r>
            <a:r>
              <a:rPr lang="pt-PT" baseline="0"/>
              <a:t> Condition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'SF and BM (Still Water)'!$Y$5</c:f>
              <c:strCache>
                <c:ptCount val="1"/>
                <c:pt idx="0">
                  <c:v>Q [t]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yVal>
            <c:numRef>
              <c:f>'SF and BM (Still Water)'!$Y$7:$Y$26</c:f>
              <c:numCache>
                <c:formatCode>General</c:formatCode>
                <c:ptCount val="20"/>
                <c:pt idx="0">
                  <c:v>0</c:v>
                </c:pt>
                <c:pt idx="1">
                  <c:v>184.35093417800937</c:v>
                </c:pt>
                <c:pt idx="2">
                  <c:v>238.79006303106311</c:v>
                </c:pt>
                <c:pt idx="3">
                  <c:v>55.52240071985819</c:v>
                </c:pt>
                <c:pt idx="4">
                  <c:v>-656.72042184462146</c:v>
                </c:pt>
                <c:pt idx="5">
                  <c:v>627.1871241337609</c:v>
                </c:pt>
                <c:pt idx="6">
                  <c:v>1747.2629368322191</c:v>
                </c:pt>
                <c:pt idx="7">
                  <c:v>357.22711059560243</c:v>
                </c:pt>
                <c:pt idx="8">
                  <c:v>-1008.9308285116056</c:v>
                </c:pt>
                <c:pt idx="9">
                  <c:v>262.97707072988629</c:v>
                </c:pt>
                <c:pt idx="10">
                  <c:v>1536.3278299378637</c:v>
                </c:pt>
                <c:pt idx="11">
                  <c:v>233.58342846064863</c:v>
                </c:pt>
                <c:pt idx="12">
                  <c:v>-1068.3641980976013</c:v>
                </c:pt>
                <c:pt idx="13">
                  <c:v>209.35422482863549</c:v>
                </c:pt>
                <c:pt idx="14">
                  <c:v>1383.2494465353138</c:v>
                </c:pt>
                <c:pt idx="15">
                  <c:v>-135.28714813917145</c:v>
                </c:pt>
                <c:pt idx="16">
                  <c:v>-1860.8305008521982</c:v>
                </c:pt>
                <c:pt idx="17">
                  <c:v>-1182.2347556911895</c:v>
                </c:pt>
                <c:pt idx="18">
                  <c:v>-560.28332405362733</c:v>
                </c:pt>
                <c:pt idx="19">
                  <c:v>-43.442639468849251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28-454D-A6BC-123243D92C8C}"/>
            </c:ext>
          </c:extLst>
        </c:ser>
        <c:ser>
          <c:idx val="1"/>
          <c:order val="1"/>
          <c:tx>
            <c:strRef>
              <c:f>'SF and BM (Still Water)'!$AB$5</c:f>
              <c:strCache>
                <c:ptCount val="1"/>
                <c:pt idx="0">
                  <c:v>Msw [t.m]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yVal>
            <c:numRef>
              <c:f>'SF and BM (Still Water)'!$AB$7:$AB$26</c:f>
              <c:numCache>
                <c:formatCode>General</c:formatCode>
                <c:ptCount val="20"/>
                <c:pt idx="0">
                  <c:v>0</c:v>
                </c:pt>
                <c:pt idx="1">
                  <c:v>644.02071329276237</c:v>
                </c:pt>
                <c:pt idx="2">
                  <c:v>2411.5788698673723</c:v>
                </c:pt>
                <c:pt idx="3">
                  <c:v>3584.0575311367538</c:v>
                </c:pt>
                <c:pt idx="4">
                  <c:v>577.21857422393703</c:v>
                </c:pt>
                <c:pt idx="5">
                  <c:v>250.1060978827436</c:v>
                </c:pt>
                <c:pt idx="6">
                  <c:v>11168.809721967405</c:v>
                </c:pt>
                <c:pt idx="7">
                  <c:v>20832.644181372809</c:v>
                </c:pt>
                <c:pt idx="8">
                  <c:v>17618.466686407453</c:v>
                </c:pt>
                <c:pt idx="9">
                  <c:v>13970.864153681508</c:v>
                </c:pt>
                <c:pt idx="10">
                  <c:v>22229.53974781846</c:v>
                </c:pt>
                <c:pt idx="11">
                  <c:v>30357.99396295835</c:v>
                </c:pt>
                <c:pt idx="12">
                  <c:v>26316.706845644065</c:v>
                </c:pt>
                <c:pt idx="13">
                  <c:v>22169.342099961752</c:v>
                </c:pt>
                <c:pt idx="14">
                  <c:v>29490.465041549942</c:v>
                </c:pt>
                <c:pt idx="15">
                  <c:v>35207.583463125258</c:v>
                </c:pt>
                <c:pt idx="16">
                  <c:v>25765.82202927559</c:v>
                </c:pt>
                <c:pt idx="17">
                  <c:v>11436.774428731866</c:v>
                </c:pt>
                <c:pt idx="18">
                  <c:v>3194.9787783330876</c:v>
                </c:pt>
                <c:pt idx="19">
                  <c:v>284.2301698853762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28-454D-A6BC-123243D92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779599"/>
        <c:axId val="1810253135"/>
      </c:scatterChart>
      <c:valAx>
        <c:axId val="181077959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0253135"/>
        <c:crosses val="autoZero"/>
        <c:crossBetween val="midCat"/>
      </c:valAx>
      <c:valAx>
        <c:axId val="18102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077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Distribuition</a:t>
            </a:r>
            <a:r>
              <a:rPr lang="en-US" baseline="0"/>
              <a:t> of displacement Ballast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'SF and BM (Still Water)'!$S$7:$S$26</c:f>
              <c:numCache>
                <c:formatCode>General</c:formatCode>
                <c:ptCount val="20"/>
                <c:pt idx="0">
                  <c:v>227.57452951180264</c:v>
                </c:pt>
                <c:pt idx="1">
                  <c:v>682.75335184067524</c:v>
                </c:pt>
                <c:pt idx="2">
                  <c:v>1210.4225281320676</c:v>
                </c:pt>
                <c:pt idx="3">
                  <c:v>1692.5048049743227</c:v>
                </c:pt>
                <c:pt idx="4">
                  <c:v>2074.7879974813409</c:v>
                </c:pt>
                <c:pt idx="5">
                  <c:v>2330.6719605878734</c:v>
                </c:pt>
                <c:pt idx="6">
                  <c:v>2466.3125426823367</c:v>
                </c:pt>
                <c:pt idx="7">
                  <c:v>2516.2732809257127</c:v>
                </c:pt>
                <c:pt idx="8">
                  <c:v>2525.1029278814103</c:v>
                </c:pt>
                <c:pt idx="9">
                  <c:v>2524.5104611712773</c:v>
                </c:pt>
                <c:pt idx="10">
                  <c:v>2523.9182340497459</c:v>
                </c:pt>
                <c:pt idx="11">
                  <c:v>2523.3262467558188</c:v>
                </c:pt>
                <c:pt idx="12">
                  <c:v>2518.0832057733824</c:v>
                </c:pt>
                <c:pt idx="13">
                  <c:v>2495.4473273586264</c:v>
                </c:pt>
                <c:pt idx="14">
                  <c:v>2433.0626315704353</c:v>
                </c:pt>
                <c:pt idx="15">
                  <c:v>2287.5217066552673</c:v>
                </c:pt>
                <c:pt idx="16">
                  <c:v>2013.8043319168119</c:v>
                </c:pt>
                <c:pt idx="17">
                  <c:v>1602.9822663771668</c:v>
                </c:pt>
                <c:pt idx="18">
                  <c:v>1044.2226083596254</c:v>
                </c:pt>
                <c:pt idx="19">
                  <c:v>361.79455618076577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7-4781-BBAB-8A6780CD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0784239"/>
        <c:axId val="1597195359"/>
      </c:barChart>
      <c:catAx>
        <c:axId val="181078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7195359"/>
        <c:crosses val="autoZero"/>
        <c:auto val="1"/>
        <c:lblAlgn val="ctr"/>
        <c:lblOffset val="100"/>
        <c:noMultiLvlLbl val="0"/>
      </c:catAx>
      <c:valAx>
        <c:axId val="159719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078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Msw</a:t>
            </a:r>
            <a:r>
              <a:rPr lang="pt-PT" baseline="0"/>
              <a:t> Ballast [t.m]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057469409720867"/>
          <c:y val="0.22879654047676881"/>
          <c:w val="0.83294492267930909"/>
          <c:h val="0.72162679135292684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'SF and BM (Still Water)'!$AB$7:$AB$27</c:f>
              <c:numCache>
                <c:formatCode>General</c:formatCode>
                <c:ptCount val="21"/>
                <c:pt idx="0">
                  <c:v>0</c:v>
                </c:pt>
                <c:pt idx="1">
                  <c:v>644.02071329276237</c:v>
                </c:pt>
                <c:pt idx="2">
                  <c:v>2411.5788698673723</c:v>
                </c:pt>
                <c:pt idx="3">
                  <c:v>3584.0575311367538</c:v>
                </c:pt>
                <c:pt idx="4">
                  <c:v>577.21857422393703</c:v>
                </c:pt>
                <c:pt idx="5">
                  <c:v>250.1060978827436</c:v>
                </c:pt>
                <c:pt idx="6">
                  <c:v>11168.809721967405</c:v>
                </c:pt>
                <c:pt idx="7">
                  <c:v>20832.644181372809</c:v>
                </c:pt>
                <c:pt idx="8">
                  <c:v>17618.466686407453</c:v>
                </c:pt>
                <c:pt idx="9">
                  <c:v>13970.864153681508</c:v>
                </c:pt>
                <c:pt idx="10">
                  <c:v>22229.53974781846</c:v>
                </c:pt>
                <c:pt idx="11">
                  <c:v>30357.99396295835</c:v>
                </c:pt>
                <c:pt idx="12">
                  <c:v>26316.706845644065</c:v>
                </c:pt>
                <c:pt idx="13">
                  <c:v>22169.342099961752</c:v>
                </c:pt>
                <c:pt idx="14">
                  <c:v>29490.465041549942</c:v>
                </c:pt>
                <c:pt idx="15">
                  <c:v>35207.583463125258</c:v>
                </c:pt>
                <c:pt idx="16">
                  <c:v>25765.82202927559</c:v>
                </c:pt>
                <c:pt idx="17">
                  <c:v>11436.774428731866</c:v>
                </c:pt>
                <c:pt idx="18">
                  <c:v>3194.9787783330876</c:v>
                </c:pt>
                <c:pt idx="19">
                  <c:v>284.2301698853762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CD-47AF-8D6A-14ADB290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520863"/>
        <c:axId val="1814010703"/>
      </c:scatterChart>
      <c:valAx>
        <c:axId val="1743520863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14010703"/>
        <c:crosses val="autoZero"/>
        <c:crossBetween val="midCat"/>
      </c:valAx>
      <c:valAx>
        <c:axId val="18140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3520863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Distribution</a:t>
            </a:r>
            <a:r>
              <a:rPr lang="pt-PT" baseline="0"/>
              <a:t> of loading (Ballast)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'SF and BM (Still Water)'!$P$7:$P$26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'SF and BM (Still Water)'!$U$7:$U$26</c:f>
              <c:numCache>
                <c:formatCode>General</c:formatCode>
                <c:ptCount val="20"/>
                <c:pt idx="0">
                  <c:v>185.12033509903907</c:v>
                </c:pt>
                <c:pt idx="1">
                  <c:v>55.208529774083445</c:v>
                </c:pt>
                <c:pt idx="2">
                  <c:v>-182.49826139017523</c:v>
                </c:pt>
                <c:pt idx="3">
                  <c:v>-711.47342164344991</c:v>
                </c:pt>
                <c:pt idx="4">
                  <c:v>1284.6769468994121</c:v>
                </c:pt>
                <c:pt idx="5">
                  <c:v>1120.8452136194878</c:v>
                </c:pt>
                <c:pt idx="6">
                  <c:v>-1389.266425315587</c:v>
                </c:pt>
                <c:pt idx="7">
                  <c:v>-1365.3885381861783</c:v>
                </c:pt>
                <c:pt idx="8">
                  <c:v>1272.6773001625215</c:v>
                </c:pt>
                <c:pt idx="9">
                  <c:v>1274.1201601290072</c:v>
                </c:pt>
                <c:pt idx="10">
                  <c:v>-1301.9750005561855</c:v>
                </c:pt>
                <c:pt idx="11">
                  <c:v>-1301.1782256372203</c:v>
                </c:pt>
                <c:pt idx="12">
                  <c:v>1278.4878238472666</c:v>
                </c:pt>
                <c:pt idx="13">
                  <c:v>1174.664622627708</c:v>
                </c:pt>
                <c:pt idx="14">
                  <c:v>-1517.7671937534556</c:v>
                </c:pt>
                <c:pt idx="15">
                  <c:v>-1724.773951791997</c:v>
                </c:pt>
                <c:pt idx="16">
                  <c:v>679.36514608203834</c:v>
                </c:pt>
                <c:pt idx="17">
                  <c:v>622.72083255859184</c:v>
                </c:pt>
                <c:pt idx="18">
                  <c:v>517.61008550580777</c:v>
                </c:pt>
                <c:pt idx="19">
                  <c:v>44.21204038987895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2-4552-A3B2-3F5608630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4150271"/>
        <c:axId val="398902512"/>
      </c:barChart>
      <c:catAx>
        <c:axId val="175415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8902512"/>
        <c:crosses val="autoZero"/>
        <c:auto val="1"/>
        <c:lblAlgn val="ctr"/>
        <c:lblOffset val="100"/>
        <c:noMultiLvlLbl val="0"/>
      </c:catAx>
      <c:valAx>
        <c:axId val="398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415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Q</a:t>
            </a:r>
            <a:r>
              <a:rPr lang="pt-PT" b="1" baseline="0"/>
              <a:t> Ballast [t]</a:t>
            </a:r>
            <a:endParaRPr lang="pt-PT" b="1"/>
          </a:p>
        </c:rich>
      </c:tx>
      <c:layout>
        <c:manualLayout>
          <c:xMode val="edge"/>
          <c:yMode val="edge"/>
          <c:x val="0.39658817279483582"/>
          <c:y val="3.7445416671171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'SF and BM (Still Water)'!$Y$7:$Y$26</c:f>
              <c:numCache>
                <c:formatCode>General</c:formatCode>
                <c:ptCount val="20"/>
                <c:pt idx="0">
                  <c:v>0</c:v>
                </c:pt>
                <c:pt idx="1">
                  <c:v>184.35093417800937</c:v>
                </c:pt>
                <c:pt idx="2">
                  <c:v>238.79006303106311</c:v>
                </c:pt>
                <c:pt idx="3">
                  <c:v>55.52240071985819</c:v>
                </c:pt>
                <c:pt idx="4">
                  <c:v>-656.72042184462146</c:v>
                </c:pt>
                <c:pt idx="5">
                  <c:v>627.1871241337609</c:v>
                </c:pt>
                <c:pt idx="6">
                  <c:v>1747.2629368322191</c:v>
                </c:pt>
                <c:pt idx="7">
                  <c:v>357.22711059560243</c:v>
                </c:pt>
                <c:pt idx="8">
                  <c:v>-1008.9308285116056</c:v>
                </c:pt>
                <c:pt idx="9">
                  <c:v>262.97707072988629</c:v>
                </c:pt>
                <c:pt idx="10">
                  <c:v>1536.3278299378637</c:v>
                </c:pt>
                <c:pt idx="11">
                  <c:v>233.58342846064863</c:v>
                </c:pt>
                <c:pt idx="12">
                  <c:v>-1068.3641980976013</c:v>
                </c:pt>
                <c:pt idx="13">
                  <c:v>209.35422482863549</c:v>
                </c:pt>
                <c:pt idx="14">
                  <c:v>1383.2494465353138</c:v>
                </c:pt>
                <c:pt idx="15">
                  <c:v>-135.28714813917145</c:v>
                </c:pt>
                <c:pt idx="16">
                  <c:v>-1860.8305008521982</c:v>
                </c:pt>
                <c:pt idx="17">
                  <c:v>-1182.2347556911895</c:v>
                </c:pt>
                <c:pt idx="18">
                  <c:v>-560.28332405362733</c:v>
                </c:pt>
                <c:pt idx="19">
                  <c:v>-43.442639468849251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1A-4AB7-93EE-05A09625A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679615"/>
        <c:axId val="1945602015"/>
      </c:scatterChart>
      <c:valAx>
        <c:axId val="143467961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45602015"/>
        <c:crosses val="autoZero"/>
        <c:crossBetween val="midCat"/>
      </c:valAx>
      <c:valAx>
        <c:axId val="194560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467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779626580423E-2"/>
          <c:y val="2.4560054447234171E-2"/>
          <c:w val="0.74602263559058835"/>
          <c:h val="0.90162598792119231"/>
        </c:manualLayout>
      </c:layout>
      <c:lineChart>
        <c:grouping val="standard"/>
        <c:varyColors val="0"/>
        <c:ser>
          <c:idx val="0"/>
          <c:order val="0"/>
          <c:tx>
            <c:v>Q Cargo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'SF and BM (Sagging)'!$I$8:$I$28</c:f>
              <c:numCache>
                <c:formatCode>General</c:formatCode>
                <c:ptCount val="21"/>
                <c:pt idx="0">
                  <c:v>0</c:v>
                </c:pt>
                <c:pt idx="1">
                  <c:v>-94.200782221640353</c:v>
                </c:pt>
                <c:pt idx="2">
                  <c:v>-236.79049876122929</c:v>
                </c:pt>
                <c:pt idx="3">
                  <c:v>-389.44910773016142</c:v>
                </c:pt>
                <c:pt idx="4">
                  <c:v>-516.40478546661927</c:v>
                </c:pt>
                <c:pt idx="5">
                  <c:v>-588.74811150611424</c:v>
                </c:pt>
                <c:pt idx="6">
                  <c:v>-590.98614772081294</c:v>
                </c:pt>
                <c:pt idx="7">
                  <c:v>-518.86026812294199</c:v>
                </c:pt>
                <c:pt idx="8">
                  <c:v>-377.38725381186094</c:v>
                </c:pt>
                <c:pt idx="9">
                  <c:v>-181.64542801684991</c:v>
                </c:pt>
                <c:pt idx="10">
                  <c:v>43.52329349179162</c:v>
                </c:pt>
                <c:pt idx="11">
                  <c:v>265.7562463095407</c:v>
                </c:pt>
                <c:pt idx="12">
                  <c:v>452.69722654130362</c:v>
                </c:pt>
                <c:pt idx="13">
                  <c:v>579.47582640549172</c:v>
                </c:pt>
                <c:pt idx="14">
                  <c:v>631.11677777749276</c:v>
                </c:pt>
                <c:pt idx="15">
                  <c:v>603.17107743110785</c:v>
                </c:pt>
                <c:pt idx="16">
                  <c:v>502.08200714590896</c:v>
                </c:pt>
                <c:pt idx="17">
                  <c:v>349.05158023476173</c:v>
                </c:pt>
                <c:pt idx="18">
                  <c:v>183.59831279287758</c:v>
                </c:pt>
                <c:pt idx="19">
                  <c:v>53.748336851461829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7-46B0-A963-650937FB5A2D}"/>
            </c:ext>
          </c:extLst>
        </c:ser>
        <c:ser>
          <c:idx val="1"/>
          <c:order val="1"/>
          <c:tx>
            <c:v>Q Ballast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'SF and BM (Sagging)'!$V$8:$V$28</c:f>
              <c:numCache>
                <c:formatCode>General</c:formatCode>
                <c:ptCount val="21"/>
                <c:pt idx="0">
                  <c:v>0</c:v>
                </c:pt>
                <c:pt idx="1">
                  <c:v>-77.070301613947578</c:v>
                </c:pt>
                <c:pt idx="2">
                  <c:v>-208.35303541448587</c:v>
                </c:pt>
                <c:pt idx="3">
                  <c:v>-359.6615730714646</c:v>
                </c:pt>
                <c:pt idx="4">
                  <c:v>-492.15027657018169</c:v>
                </c:pt>
                <c:pt idx="5">
                  <c:v>-572.95728876679675</c:v>
                </c:pt>
                <c:pt idx="6">
                  <c:v>-583.64706176792492</c:v>
                </c:pt>
                <c:pt idx="7">
                  <c:v>-518.93161698150345</c:v>
                </c:pt>
                <c:pt idx="8">
                  <c:v>-383.8027174537367</c:v>
                </c:pt>
                <c:pt idx="9">
                  <c:v>-193.33671662740616</c:v>
                </c:pt>
                <c:pt idx="10">
                  <c:v>27.592010113368048</c:v>
                </c:pt>
                <c:pt idx="11">
                  <c:v>246.59389929225208</c:v>
                </c:pt>
                <c:pt idx="12">
                  <c:v>431.28645260729547</c:v>
                </c:pt>
                <c:pt idx="13">
                  <c:v>556.79368893345213</c:v>
                </c:pt>
                <c:pt idx="14">
                  <c:v>608.14010939466118</c:v>
                </c:pt>
                <c:pt idx="15">
                  <c:v>580.93047388015225</c:v>
                </c:pt>
                <c:pt idx="16">
                  <c:v>481.94678507848511</c:v>
                </c:pt>
                <c:pt idx="17">
                  <c:v>332.91682263216285</c:v>
                </c:pt>
                <c:pt idx="18">
                  <c:v>173.05982244878993</c:v>
                </c:pt>
                <c:pt idx="19">
                  <c:v>49.219687991710323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7-46B0-A963-650937FB5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37536"/>
        <c:axId val="1284054336"/>
      </c:lineChart>
      <c:catAx>
        <c:axId val="1284037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54336"/>
        <c:crosses val="autoZero"/>
        <c:auto val="1"/>
        <c:lblAlgn val="ctr"/>
        <c:lblOffset val="100"/>
        <c:noMultiLvlLbl val="0"/>
      </c:catAx>
      <c:valAx>
        <c:axId val="12840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3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Msw Cargo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'SF and BM (Sagging)'!$L$8:$L$28</c:f>
              <c:numCache>
                <c:formatCode>General</c:formatCode>
                <c:ptCount val="21"/>
                <c:pt idx="0">
                  <c:v>0</c:v>
                </c:pt>
                <c:pt idx="1">
                  <c:v>-436.1338953725799</c:v>
                </c:pt>
                <c:pt idx="2">
                  <c:v>-1988.0646453510203</c:v>
                </c:pt>
                <c:pt idx="3">
                  <c:v>-4929.0825899789106</c:v>
                </c:pt>
                <c:pt idx="4">
                  <c:v>-9186.0985978516128</c:v>
                </c:pt>
                <c:pt idx="5">
                  <c:v>-14383.638721274006</c:v>
                </c:pt>
                <c:pt idx="6">
                  <c:v>-19938.647986131869</c:v>
                </c:pt>
                <c:pt idx="7">
                  <c:v>-25175.732856070521</c:v>
                </c:pt>
                <c:pt idx="8">
                  <c:v>-29423.04416988193</c:v>
                </c:pt>
                <c:pt idx="9">
                  <c:v>-32102.677379094475</c:v>
                </c:pt>
                <c:pt idx="10">
                  <c:v>-32823.355052559556</c:v>
                </c:pt>
                <c:pt idx="11">
                  <c:v>-31461.231171445877</c:v>
                </c:pt>
                <c:pt idx="12">
                  <c:v>-28195.020426222836</c:v>
                </c:pt>
                <c:pt idx="13">
                  <c:v>-23470.97191694834</c:v>
                </c:pt>
                <c:pt idx="14">
                  <c:v>-17921.613278541776</c:v>
                </c:pt>
                <c:pt idx="15">
                  <c:v>-12270.280614487569</c:v>
                </c:pt>
                <c:pt idx="16">
                  <c:v>-7230.986776033129</c:v>
                </c:pt>
                <c:pt idx="17">
                  <c:v>-3388.5028598687209</c:v>
                </c:pt>
                <c:pt idx="18">
                  <c:v>-1043.7314877018482</c:v>
                </c:pt>
                <c:pt idx="19">
                  <c:v>-88.304051249015885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4-4DE6-BB95-87E4D26BABDE}"/>
            </c:ext>
          </c:extLst>
        </c:ser>
        <c:ser>
          <c:idx val="1"/>
          <c:order val="1"/>
          <c:tx>
            <c:v>Msw Ballast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'SF and BM (Sagging)'!$Y$8:$Y$28</c:f>
              <c:numCache>
                <c:formatCode>General</c:formatCode>
                <c:ptCount val="21"/>
                <c:pt idx="0">
                  <c:v>0</c:v>
                </c:pt>
                <c:pt idx="1">
                  <c:v>-338.04266067441631</c:v>
                </c:pt>
                <c:pt idx="2">
                  <c:v>-1657.3296654473247</c:v>
                </c:pt>
                <c:pt idx="3">
                  <c:v>-4304.9247678198963</c:v>
                </c:pt>
                <c:pt idx="4">
                  <c:v>-8286.4658761311166</c:v>
                </c:pt>
                <c:pt idx="5">
                  <c:v>-13272.358358853784</c:v>
                </c:pt>
                <c:pt idx="6">
                  <c:v>-18693.192215911673</c:v>
                </c:pt>
                <c:pt idx="7">
                  <c:v>-23868.649960909086</c:v>
                </c:pt>
                <c:pt idx="8">
                  <c:v>-28117.02929977344</c:v>
                </c:pt>
                <c:pt idx="9">
                  <c:v>-30850.446383018159</c:v>
                </c:pt>
                <c:pt idx="10">
                  <c:v>-31667.787018422434</c:v>
                </c:pt>
                <c:pt idx="11">
                  <c:v>-30435.645927938072</c:v>
                </c:pt>
                <c:pt idx="12">
                  <c:v>-27323.427222330378</c:v>
                </c:pt>
                <c:pt idx="13">
                  <c:v>-22768.218403685842</c:v>
                </c:pt>
                <c:pt idx="14">
                  <c:v>-17393.412643096141</c:v>
                </c:pt>
                <c:pt idx="15">
                  <c:v>-11912.961316416389</c:v>
                </c:pt>
                <c:pt idx="16">
                  <c:v>-7029.6576844505289</c:v>
                </c:pt>
                <c:pt idx="17">
                  <c:v>-3313.0117756047912</c:v>
                </c:pt>
                <c:pt idx="18">
                  <c:v>-1047.6063205886485</c:v>
                </c:pt>
                <c:pt idx="19">
                  <c:v>-115.67887355239236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C4-4DE6-BB95-87E4D26B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82176"/>
        <c:axId val="1284083616"/>
      </c:lineChart>
      <c:catAx>
        <c:axId val="128408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83616"/>
        <c:crosses val="autoZero"/>
        <c:auto val="1"/>
        <c:lblAlgn val="ctr"/>
        <c:lblOffset val="100"/>
        <c:noMultiLvlLbl val="0"/>
      </c:catAx>
      <c:valAx>
        <c:axId val="12840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8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779626580423E-2"/>
          <c:y val="2.4560054447234171E-2"/>
          <c:w val="0.74602263559058835"/>
          <c:h val="0.90162598792119231"/>
        </c:manualLayout>
      </c:layout>
      <c:lineChart>
        <c:grouping val="standard"/>
        <c:varyColors val="0"/>
        <c:ser>
          <c:idx val="0"/>
          <c:order val="0"/>
          <c:tx>
            <c:v>Q Cargo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'SF and BM (Hogging)'!$I$8:$I$28</c:f>
              <c:numCache>
                <c:formatCode>General</c:formatCode>
                <c:ptCount val="21"/>
                <c:pt idx="0">
                  <c:v>0</c:v>
                </c:pt>
                <c:pt idx="1">
                  <c:v>64.820066966089044</c:v>
                </c:pt>
                <c:pt idx="2">
                  <c:v>184.9863351367643</c:v>
                </c:pt>
                <c:pt idx="3">
                  <c:v>330.97936930549332</c:v>
                </c:pt>
                <c:pt idx="4">
                  <c:v>463.18853644746878</c:v>
                </c:pt>
                <c:pt idx="5">
                  <c:v>546.829630384849</c:v>
                </c:pt>
                <c:pt idx="6">
                  <c:v>561.77316823361048</c:v>
                </c:pt>
                <c:pt idx="7">
                  <c:v>501.56786755339192</c:v>
                </c:pt>
                <c:pt idx="8">
                  <c:v>370.53214677242289</c:v>
                </c:pt>
                <c:pt idx="9">
                  <c:v>183.5711996833906</c:v>
                </c:pt>
                <c:pt idx="10">
                  <c:v>-34.337082586984202</c:v>
                </c:pt>
                <c:pt idx="11">
                  <c:v>-250.67193888840575</c:v>
                </c:pt>
                <c:pt idx="12">
                  <c:v>-432.92431712027127</c:v>
                </c:pt>
                <c:pt idx="13">
                  <c:v>-556.15104549958016</c:v>
                </c:pt>
                <c:pt idx="14">
                  <c:v>-605.45191321080472</c:v>
                </c:pt>
                <c:pt idx="15">
                  <c:v>-576.61453741510672</c:v>
                </c:pt>
                <c:pt idx="16">
                  <c:v>-476.71525648765163</c:v>
                </c:pt>
                <c:pt idx="17">
                  <c:v>-327.91363854879006</c:v>
                </c:pt>
                <c:pt idx="18">
                  <c:v>-169.40541995121234</c:v>
                </c:pt>
                <c:pt idx="19">
                  <c:v>-47.523611007839072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1-4AA6-A818-70B9C47EDD2B}"/>
            </c:ext>
          </c:extLst>
        </c:ser>
        <c:ser>
          <c:idx val="1"/>
          <c:order val="1"/>
          <c:tx>
            <c:v>Q Ballast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'SF and BM (Hogging)'!$V$8:$V$28</c:f>
              <c:numCache>
                <c:formatCode>General</c:formatCode>
                <c:ptCount val="21"/>
                <c:pt idx="0">
                  <c:v>0</c:v>
                </c:pt>
                <c:pt idx="1">
                  <c:v>51.502760269262112</c:v>
                </c:pt>
                <c:pt idx="2">
                  <c:v>160.70067133515707</c:v>
                </c:pt>
                <c:pt idx="3">
                  <c:v>303.37018635191669</c:v>
                </c:pt>
                <c:pt idx="4">
                  <c:v>439.00222035728916</c:v>
                </c:pt>
                <c:pt idx="5">
                  <c:v>529.8475955330955</c:v>
                </c:pt>
                <c:pt idx="6">
                  <c:v>552.93819011333608</c:v>
                </c:pt>
                <c:pt idx="7">
                  <c:v>500.30495941447987</c:v>
                </c:pt>
                <c:pt idx="8">
                  <c:v>375.92086112226826</c:v>
                </c:pt>
                <c:pt idx="9">
                  <c:v>194.69163797191749</c:v>
                </c:pt>
                <c:pt idx="10">
                  <c:v>-18.51770852390375</c:v>
                </c:pt>
                <c:pt idx="11">
                  <c:v>-231.32290699711774</c:v>
                </c:pt>
                <c:pt idx="12">
                  <c:v>-411.34482590686144</c:v>
                </c:pt>
                <c:pt idx="13">
                  <c:v>-533.70719192588331</c:v>
                </c:pt>
                <c:pt idx="14">
                  <c:v>-583.5073653197453</c:v>
                </c:pt>
                <c:pt idx="15">
                  <c:v>-556.52311944350402</c:v>
                </c:pt>
                <c:pt idx="16">
                  <c:v>-459.84242525498416</c:v>
                </c:pt>
                <c:pt idx="17">
                  <c:v>-315.54560430147353</c:v>
                </c:pt>
                <c:pt idx="18">
                  <c:v>-162.17501671819718</c:v>
                </c:pt>
                <c:pt idx="19">
                  <c:v>-44.830814813938957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1-4AA6-A818-70B9C47ED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37536"/>
        <c:axId val="1284054336"/>
      </c:lineChart>
      <c:catAx>
        <c:axId val="1284037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54336"/>
        <c:crosses val="autoZero"/>
        <c:auto val="1"/>
        <c:lblAlgn val="ctr"/>
        <c:lblOffset val="100"/>
        <c:noMultiLvlLbl val="0"/>
      </c:catAx>
      <c:valAx>
        <c:axId val="12840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3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Msw Cargo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'SF and BM (Hogging)'!$L$8:$L$28</c:f>
              <c:numCache>
                <c:formatCode>General</c:formatCode>
                <c:ptCount val="21"/>
                <c:pt idx="0">
                  <c:v>0</c:v>
                </c:pt>
                <c:pt idx="1">
                  <c:v>512.61242402367805</c:v>
                </c:pt>
                <c:pt idx="2">
                  <c:v>1881.2353484803391</c:v>
                </c:pt>
                <c:pt idx="3">
                  <c:v>4485.352395042326</c:v>
                </c:pt>
                <c:pt idx="4">
                  <c:v>8381.2641164004654</c:v>
                </c:pt>
                <c:pt idx="5">
                  <c:v>13277.475191973203</c:v>
                </c:pt>
                <c:pt idx="6">
                  <c:v>18625.768804814761</c:v>
                </c:pt>
                <c:pt idx="7">
                  <c:v>23753.663060087871</c:v>
                </c:pt>
                <c:pt idx="8">
                  <c:v>27978.704923698533</c:v>
                </c:pt>
                <c:pt idx="9">
                  <c:v>30708.311748685548</c:v>
                </c:pt>
                <c:pt idx="10">
                  <c:v>31536.35431008595</c:v>
                </c:pt>
                <c:pt idx="11">
                  <c:v>30325.509582331812</c:v>
                </c:pt>
                <c:pt idx="12">
                  <c:v>27242.468916803165</c:v>
                </c:pt>
                <c:pt idx="13">
                  <c:v>22722.512811535889</c:v>
                </c:pt>
                <c:pt idx="14">
                  <c:v>17387.18957821398</c:v>
                </c:pt>
                <c:pt idx="15">
                  <c:v>11947.398903855592</c:v>
                </c:pt>
                <c:pt idx="16">
                  <c:v>7100.6514833465544</c:v>
                </c:pt>
                <c:pt idx="17">
                  <c:v>3407.7801487061579</c:v>
                </c:pt>
                <c:pt idx="18">
                  <c:v>1142.7816835422254</c:v>
                </c:pt>
                <c:pt idx="19">
                  <c:v>179.80598080084928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3-4B21-A97A-0A30D42AA423}"/>
            </c:ext>
          </c:extLst>
        </c:ser>
        <c:ser>
          <c:idx val="1"/>
          <c:order val="1"/>
          <c:tx>
            <c:v>Msw Ballast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'SF and BM (Hogging)'!$Y$8:$Y$28</c:f>
              <c:numCache>
                <c:formatCode>General</c:formatCode>
                <c:ptCount val="21"/>
                <c:pt idx="0">
                  <c:v>0</c:v>
                </c:pt>
                <c:pt idx="1">
                  <c:v>406.82901837204844</c:v>
                </c:pt>
                <c:pt idx="2">
                  <c:v>1557.7412123529293</c:v>
                </c:pt>
                <c:pt idx="3">
                  <c:v>3878.941160387194</c:v>
                </c:pt>
                <c:pt idx="4">
                  <c:v>7494.0083872168998</c:v>
                </c:pt>
                <c:pt idx="5">
                  <c:v>12160.66503908559</c:v>
                </c:pt>
                <c:pt idx="6">
                  <c:v>17352.779886680772</c:v>
                </c:pt>
                <c:pt idx="7">
                  <c:v>22399.590447538401</c:v>
                </c:pt>
                <c:pt idx="8">
                  <c:v>26611.652532479762</c:v>
                </c:pt>
                <c:pt idx="9">
                  <c:v>29387.779876794113</c:v>
                </c:pt>
                <c:pt idx="10">
                  <c:v>30312.714445129586</c:v>
                </c:pt>
                <c:pt idx="11">
                  <c:v>29238.83855285179</c:v>
                </c:pt>
                <c:pt idx="12">
                  <c:v>26321.303423925641</c:v>
                </c:pt>
                <c:pt idx="13">
                  <c:v>21982.929300074487</c:v>
                </c:pt>
                <c:pt idx="14">
                  <c:v>16832.502841585076</c:v>
                </c:pt>
                <c:pt idx="15">
                  <c:v>11568.219459067759</c:v>
                </c:pt>
                <c:pt idx="16">
                  <c:v>6874.8772084701741</c:v>
                </c:pt>
                <c:pt idx="17">
                  <c:v>3300.9123782785568</c:v>
                </c:pt>
                <c:pt idx="18">
                  <c:v>1111.3502201133908</c:v>
                </c:pt>
                <c:pt idx="19">
                  <c:v>180.18723991942306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3-4B21-A97A-0A30D42AA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82176"/>
        <c:axId val="1284083616"/>
      </c:lineChart>
      <c:catAx>
        <c:axId val="128408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83616"/>
        <c:crosses val="autoZero"/>
        <c:auto val="1"/>
        <c:lblAlgn val="ctr"/>
        <c:lblOffset val="100"/>
        <c:noMultiLvlLbl val="0"/>
      </c:catAx>
      <c:valAx>
        <c:axId val="12840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8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'Classification Society'!$J$10:$J$30</c:f>
              <c:numCache>
                <c:formatCode>General</c:formatCode>
                <c:ptCount val="21"/>
                <c:pt idx="0">
                  <c:v>0</c:v>
                </c:pt>
                <c:pt idx="1">
                  <c:v>72520.500533198719</c:v>
                </c:pt>
                <c:pt idx="2">
                  <c:v>145041.00106639744</c:v>
                </c:pt>
                <c:pt idx="3">
                  <c:v>350515.75257712707</c:v>
                </c:pt>
                <c:pt idx="4">
                  <c:v>555990.50408785697</c:v>
                </c:pt>
                <c:pt idx="5">
                  <c:v>761465.25559858652</c:v>
                </c:pt>
                <c:pt idx="6">
                  <c:v>966940.0071093163</c:v>
                </c:pt>
                <c:pt idx="7">
                  <c:v>966940.0071093163</c:v>
                </c:pt>
                <c:pt idx="8">
                  <c:v>966940.0071093163</c:v>
                </c:pt>
                <c:pt idx="9">
                  <c:v>966940.0071093163</c:v>
                </c:pt>
                <c:pt idx="10">
                  <c:v>966940.0071093163</c:v>
                </c:pt>
                <c:pt idx="11">
                  <c:v>966940.0071093163</c:v>
                </c:pt>
                <c:pt idx="12">
                  <c:v>966940.0071093163</c:v>
                </c:pt>
                <c:pt idx="13">
                  <c:v>966940.0071093163</c:v>
                </c:pt>
                <c:pt idx="14">
                  <c:v>966940.0071093163</c:v>
                </c:pt>
                <c:pt idx="15">
                  <c:v>761465.2555985864</c:v>
                </c:pt>
                <c:pt idx="16">
                  <c:v>555990.50408785674</c:v>
                </c:pt>
                <c:pt idx="17">
                  <c:v>350515.75257712731</c:v>
                </c:pt>
                <c:pt idx="18">
                  <c:v>145041.00106639744</c:v>
                </c:pt>
                <c:pt idx="19">
                  <c:v>72520.500533198719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F6-49DE-8102-8E265C72F9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'Classification Society'!$I$10:$I$30</c:f>
              <c:numCache>
                <c:formatCode>General</c:formatCode>
                <c:ptCount val="21"/>
                <c:pt idx="0">
                  <c:v>0</c:v>
                </c:pt>
                <c:pt idx="1">
                  <c:v>-62454.563550672705</c:v>
                </c:pt>
                <c:pt idx="2">
                  <c:v>-124909.12710134541</c:v>
                </c:pt>
                <c:pt idx="3">
                  <c:v>-301863.72382825136</c:v>
                </c:pt>
                <c:pt idx="4">
                  <c:v>-478818.32055515749</c:v>
                </c:pt>
                <c:pt idx="5">
                  <c:v>-655772.9172820634</c:v>
                </c:pt>
                <c:pt idx="6">
                  <c:v>-832727.51400896942</c:v>
                </c:pt>
                <c:pt idx="7">
                  <c:v>-832727.51400896942</c:v>
                </c:pt>
                <c:pt idx="8">
                  <c:v>-832727.51400896942</c:v>
                </c:pt>
                <c:pt idx="9">
                  <c:v>-832727.51400896942</c:v>
                </c:pt>
                <c:pt idx="10">
                  <c:v>-832727.51400896942</c:v>
                </c:pt>
                <c:pt idx="11">
                  <c:v>-832727.51400896942</c:v>
                </c:pt>
                <c:pt idx="12">
                  <c:v>-832727.51400896942</c:v>
                </c:pt>
                <c:pt idx="13">
                  <c:v>-832727.51400896942</c:v>
                </c:pt>
                <c:pt idx="14">
                  <c:v>-832727.51400896942</c:v>
                </c:pt>
                <c:pt idx="15">
                  <c:v>-655772.91728206328</c:v>
                </c:pt>
                <c:pt idx="16">
                  <c:v>-478818.32055515726</c:v>
                </c:pt>
                <c:pt idx="17">
                  <c:v>-301863.72382825153</c:v>
                </c:pt>
                <c:pt idx="18">
                  <c:v>-124909.12710134541</c:v>
                </c:pt>
                <c:pt idx="19">
                  <c:v>-62454.563550672705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F6-49DE-8102-8E265C72F9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'Classification Society'!$O$10:$O$30</c:f>
              <c:numCache>
                <c:formatCode>General</c:formatCode>
                <c:ptCount val="21"/>
                <c:pt idx="0">
                  <c:v>0</c:v>
                </c:pt>
                <c:pt idx="1">
                  <c:v>6317.8431974019995</c:v>
                </c:pt>
                <c:pt idx="2">
                  <c:v>23657.588713398924</c:v>
                </c:pt>
                <c:pt idx="3">
                  <c:v>35159.604380451558</c:v>
                </c:pt>
                <c:pt idx="4">
                  <c:v>5662.5142131368229</c:v>
                </c:pt>
                <c:pt idx="5">
                  <c:v>2453.5408202297149</c:v>
                </c:pt>
                <c:pt idx="6">
                  <c:v>109566.02337250025</c:v>
                </c:pt>
                <c:pt idx="7">
                  <c:v>204368.23941926725</c:v>
                </c:pt>
                <c:pt idx="8">
                  <c:v>172837.15819365712</c:v>
                </c:pt>
                <c:pt idx="9">
                  <c:v>137054.17734761559</c:v>
                </c:pt>
                <c:pt idx="10">
                  <c:v>218071.78492609912</c:v>
                </c:pt>
                <c:pt idx="11">
                  <c:v>297811.92077662144</c:v>
                </c:pt>
                <c:pt idx="12">
                  <c:v>258166.8941557683</c:v>
                </c:pt>
                <c:pt idx="13">
                  <c:v>217481.24600062479</c:v>
                </c:pt>
                <c:pt idx="14">
                  <c:v>289301.46205760492</c:v>
                </c:pt>
                <c:pt idx="15">
                  <c:v>345386.39377325878</c:v>
                </c:pt>
                <c:pt idx="16">
                  <c:v>252762.71410719355</c:v>
                </c:pt>
                <c:pt idx="17">
                  <c:v>112194.75714585961</c:v>
                </c:pt>
                <c:pt idx="18">
                  <c:v>31342.741815447589</c:v>
                </c:pt>
                <c:pt idx="19">
                  <c:v>2788.2979665755406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1F6-49DE-8102-8E265C72F93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'Classification Society'!$M$10:$M$30</c:f>
              <c:numCache>
                <c:formatCode>General</c:formatCode>
                <c:ptCount val="21"/>
                <c:pt idx="0">
                  <c:v>0</c:v>
                </c:pt>
                <c:pt idx="1">
                  <c:v>1948.7876740119</c:v>
                </c:pt>
                <c:pt idx="2">
                  <c:v>5216.4385946262501</c:v>
                </c:pt>
                <c:pt idx="3">
                  <c:v>-12408.013454506347</c:v>
                </c:pt>
                <c:pt idx="4">
                  <c:v>-89875.427742950895</c:v>
                </c:pt>
                <c:pt idx="5">
                  <c:v>-178414.66109858704</c:v>
                </c:pt>
                <c:pt idx="6">
                  <c:v>-212765.48861618954</c:v>
                </c:pt>
                <c:pt idx="7">
                  <c:v>-202014.02717051248</c:v>
                </c:pt>
                <c:pt idx="8">
                  <c:v>-166271.73817487704</c:v>
                </c:pt>
                <c:pt idx="9">
                  <c:v>-126195.88167519603</c:v>
                </c:pt>
                <c:pt idx="10">
                  <c:v>-85601.590906940401</c:v>
                </c:pt>
                <c:pt idx="11">
                  <c:v>-44108.817115122241</c:v>
                </c:pt>
                <c:pt idx="12">
                  <c:v>-4946.5966022210259</c:v>
                </c:pt>
                <c:pt idx="13">
                  <c:v>25121.272017997038</c:v>
                </c:pt>
                <c:pt idx="14">
                  <c:v>46864.264122498927</c:v>
                </c:pt>
                <c:pt idx="15">
                  <c:v>56943.721912993286</c:v>
                </c:pt>
                <c:pt idx="16">
                  <c:v>52304.173296612964</c:v>
                </c:pt>
                <c:pt idx="17">
                  <c:v>35941.359636586996</c:v>
                </c:pt>
                <c:pt idx="18">
                  <c:v>15679.667529410763</c:v>
                </c:pt>
                <c:pt idx="19">
                  <c:v>3358.2549280235621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1F6-49DE-8102-8E265C72F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51456"/>
        <c:axId val="1284049536"/>
      </c:lineChart>
      <c:catAx>
        <c:axId val="128405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49536"/>
        <c:crosses val="autoZero"/>
        <c:auto val="1"/>
        <c:lblAlgn val="ctr"/>
        <c:lblOffset val="100"/>
        <c:noMultiLvlLbl val="0"/>
      </c:catAx>
      <c:valAx>
        <c:axId val="12840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5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QS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'Classification Society'!$L$10:$L$30</c:f>
              <c:numCache>
                <c:formatCode>General</c:formatCode>
                <c:ptCount val="21"/>
                <c:pt idx="0">
                  <c:v>0</c:v>
                </c:pt>
                <c:pt idx="1">
                  <c:v>8618.0036284252783</c:v>
                </c:pt>
                <c:pt idx="2">
                  <c:v>17236.007256850557</c:v>
                </c:pt>
                <c:pt idx="3">
                  <c:v>25854.010885275835</c:v>
                </c:pt>
                <c:pt idx="4">
                  <c:v>25854.010885275835</c:v>
                </c:pt>
                <c:pt idx="5">
                  <c:v>25854.010885275835</c:v>
                </c:pt>
                <c:pt idx="6">
                  <c:v>25854.010885275835</c:v>
                </c:pt>
                <c:pt idx="7">
                  <c:v>23268.609796748253</c:v>
                </c:pt>
                <c:pt idx="8">
                  <c:v>20683.208708220671</c:v>
                </c:pt>
                <c:pt idx="9">
                  <c:v>20683.208708220671</c:v>
                </c:pt>
                <c:pt idx="10">
                  <c:v>20683.208708220671</c:v>
                </c:pt>
                <c:pt idx="11">
                  <c:v>20683.208708220671</c:v>
                </c:pt>
                <c:pt idx="12">
                  <c:v>20683.208708220671</c:v>
                </c:pt>
                <c:pt idx="13">
                  <c:v>23268.609796748253</c:v>
                </c:pt>
                <c:pt idx="14">
                  <c:v>25854.010885275835</c:v>
                </c:pt>
                <c:pt idx="15">
                  <c:v>25854.010885275835</c:v>
                </c:pt>
                <c:pt idx="16">
                  <c:v>25854.010885275835</c:v>
                </c:pt>
                <c:pt idx="17">
                  <c:v>25854.010885275835</c:v>
                </c:pt>
                <c:pt idx="18">
                  <c:v>17236.007256850557</c:v>
                </c:pt>
                <c:pt idx="19">
                  <c:v>8618.0036284252783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02-4C6B-AB33-85B98DC9F6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'Classification Society'!$K$10:$K$30</c:f>
              <c:numCache>
                <c:formatCode>General</c:formatCode>
                <c:ptCount val="21"/>
                <c:pt idx="0">
                  <c:v>0</c:v>
                </c:pt>
                <c:pt idx="1">
                  <c:v>-7421.813850347321</c:v>
                </c:pt>
                <c:pt idx="2">
                  <c:v>-14843.627700694642</c:v>
                </c:pt>
                <c:pt idx="3">
                  <c:v>-22265.441551041964</c:v>
                </c:pt>
                <c:pt idx="4">
                  <c:v>-22265.441551041964</c:v>
                </c:pt>
                <c:pt idx="5">
                  <c:v>-22265.441551041964</c:v>
                </c:pt>
                <c:pt idx="6">
                  <c:v>-22265.441551041964</c:v>
                </c:pt>
                <c:pt idx="7">
                  <c:v>-20038.897395937769</c:v>
                </c:pt>
                <c:pt idx="8">
                  <c:v>-17812.35324083357</c:v>
                </c:pt>
                <c:pt idx="9">
                  <c:v>-17812.35324083357</c:v>
                </c:pt>
                <c:pt idx="10">
                  <c:v>-17812.35324083357</c:v>
                </c:pt>
                <c:pt idx="11">
                  <c:v>-17812.35324083357</c:v>
                </c:pt>
                <c:pt idx="12">
                  <c:v>-17812.35324083357</c:v>
                </c:pt>
                <c:pt idx="13">
                  <c:v>-20038.897395937769</c:v>
                </c:pt>
                <c:pt idx="14">
                  <c:v>-22265.441551041964</c:v>
                </c:pt>
                <c:pt idx="15">
                  <c:v>-22265.441551041964</c:v>
                </c:pt>
                <c:pt idx="16">
                  <c:v>-22265.441551041964</c:v>
                </c:pt>
                <c:pt idx="17">
                  <c:v>-22265.441551041964</c:v>
                </c:pt>
                <c:pt idx="18">
                  <c:v>-14843.627700694642</c:v>
                </c:pt>
                <c:pt idx="19">
                  <c:v>-7421.813850347321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02-4C6B-AB33-85B98DC9F6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'Classification Society'!$P$10:$P$30</c:f>
              <c:numCache>
                <c:formatCode>General</c:formatCode>
                <c:ptCount val="21"/>
                <c:pt idx="0">
                  <c:v>0</c:v>
                </c:pt>
                <c:pt idx="1">
                  <c:v>1808.482664286272</c:v>
                </c:pt>
                <c:pt idx="2">
                  <c:v>2342.5305183347291</c:v>
                </c:pt>
                <c:pt idx="3">
                  <c:v>544.67475106180882</c:v>
                </c:pt>
                <c:pt idx="4">
                  <c:v>-6442.4273382957372</c:v>
                </c:pt>
                <c:pt idx="5">
                  <c:v>6152.7056877521945</c:v>
                </c:pt>
                <c:pt idx="6">
                  <c:v>17140.649410324069</c:v>
                </c:pt>
                <c:pt idx="7">
                  <c:v>3504.39795494286</c:v>
                </c:pt>
                <c:pt idx="8">
                  <c:v>-9897.6114276988519</c:v>
                </c:pt>
                <c:pt idx="9">
                  <c:v>2579.8050638601849</c:v>
                </c:pt>
                <c:pt idx="10">
                  <c:v>15071.376011690443</c:v>
                </c:pt>
                <c:pt idx="11">
                  <c:v>2291.453433198963</c:v>
                </c:pt>
                <c:pt idx="12">
                  <c:v>-10480.652783337469</c:v>
                </c:pt>
                <c:pt idx="13">
                  <c:v>2053.7649455689143</c:v>
                </c:pt>
                <c:pt idx="14">
                  <c:v>13569.677070511429</c:v>
                </c:pt>
                <c:pt idx="15">
                  <c:v>-1327.1669232452721</c:v>
                </c:pt>
                <c:pt idx="16">
                  <c:v>-18254.747213360064</c:v>
                </c:pt>
                <c:pt idx="17">
                  <c:v>-11597.722953330571</c:v>
                </c:pt>
                <c:pt idx="18">
                  <c:v>-5496.3794089660842</c:v>
                </c:pt>
                <c:pt idx="19">
                  <c:v>-426.17229318941116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02-4C6B-AB33-85B98DC9F60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'Classification Society'!$N$10:$N$30</c:f>
              <c:numCache>
                <c:formatCode>General</c:formatCode>
                <c:ptCount val="21"/>
                <c:pt idx="0">
                  <c:v>0</c:v>
                </c:pt>
                <c:pt idx="1">
                  <c:v>1092.3919967573772</c:v>
                </c:pt>
                <c:pt idx="2">
                  <c:v>263.64108614891251</c:v>
                </c:pt>
                <c:pt idx="3">
                  <c:v>-3394.9757334251331</c:v>
                </c:pt>
                <c:pt idx="4">
                  <c:v>-12555.461247149105</c:v>
                </c:pt>
                <c:pt idx="5">
                  <c:v>-5781.7479764300315</c:v>
                </c:pt>
                <c:pt idx="6">
                  <c:v>-982.82709331436638</c:v>
                </c:pt>
                <c:pt idx="7">
                  <c:v>3847.3317656925851</c:v>
                </c:pt>
                <c:pt idx="8">
                  <c:v>4344.3357689534705</c:v>
                </c:pt>
                <c:pt idx="9">
                  <c:v>4755.8293774977719</c:v>
                </c:pt>
                <c:pt idx="10">
                  <c:v>4436.7621004440307</c:v>
                </c:pt>
                <c:pt idx="11">
                  <c:v>4929.5495603226327</c:v>
                </c:pt>
                <c:pt idx="12">
                  <c:v>3919.7793308668734</c:v>
                </c:pt>
                <c:pt idx="13">
                  <c:v>2965.7649482286351</c:v>
                </c:pt>
                <c:pt idx="14">
                  <c:v>2120.5883822952237</c:v>
                </c:pt>
                <c:pt idx="15">
                  <c:v>452.4225989529541</c:v>
                </c:pt>
                <c:pt idx="16">
                  <c:v>-1046.330885240815</c:v>
                </c:pt>
                <c:pt idx="17">
                  <c:v>-2073.696376983286</c:v>
                </c:pt>
                <c:pt idx="18">
                  <c:v>-1898.7842790390052</c:v>
                </c:pt>
                <c:pt idx="19">
                  <c:v>-393.70956694419743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302-4C6B-AB33-85B98DC9F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36544"/>
        <c:axId val="1720342304"/>
      </c:lineChart>
      <c:catAx>
        <c:axId val="172033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2304"/>
        <c:crosses val="autoZero"/>
        <c:auto val="1"/>
        <c:lblAlgn val="ctr"/>
        <c:lblOffset val="100"/>
        <c:noMultiLvlLbl val="0"/>
      </c:catAx>
      <c:valAx>
        <c:axId val="17203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3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'Classification Society'!$J$9</c:f>
              <c:strCache>
                <c:ptCount val="1"/>
                <c:pt idx="0">
                  <c:v>Ms (Sagging) [kN.m]</c:v>
                </c:pt>
              </c:strCache>
            </c:strRef>
          </c:tx>
          <c:val>
            <c:numRef>
              <c:f>'Classification Society'!$J$10:$J$30</c:f>
              <c:numCache>
                <c:formatCode>General</c:formatCode>
                <c:ptCount val="21"/>
                <c:pt idx="0">
                  <c:v>0</c:v>
                </c:pt>
                <c:pt idx="1">
                  <c:v>72520.500533198719</c:v>
                </c:pt>
                <c:pt idx="2">
                  <c:v>145041.00106639744</c:v>
                </c:pt>
                <c:pt idx="3">
                  <c:v>350515.75257712707</c:v>
                </c:pt>
                <c:pt idx="4">
                  <c:v>555990.50408785697</c:v>
                </c:pt>
                <c:pt idx="5">
                  <c:v>761465.25559858652</c:v>
                </c:pt>
                <c:pt idx="6">
                  <c:v>966940.0071093163</c:v>
                </c:pt>
                <c:pt idx="7">
                  <c:v>966940.0071093163</c:v>
                </c:pt>
                <c:pt idx="8">
                  <c:v>966940.0071093163</c:v>
                </c:pt>
                <c:pt idx="9">
                  <c:v>966940.0071093163</c:v>
                </c:pt>
                <c:pt idx="10">
                  <c:v>966940.0071093163</c:v>
                </c:pt>
                <c:pt idx="11">
                  <c:v>966940.0071093163</c:v>
                </c:pt>
                <c:pt idx="12">
                  <c:v>966940.0071093163</c:v>
                </c:pt>
                <c:pt idx="13">
                  <c:v>966940.0071093163</c:v>
                </c:pt>
                <c:pt idx="14">
                  <c:v>966940.0071093163</c:v>
                </c:pt>
                <c:pt idx="15">
                  <c:v>761465.2555985864</c:v>
                </c:pt>
                <c:pt idx="16">
                  <c:v>555990.50408785674</c:v>
                </c:pt>
                <c:pt idx="17">
                  <c:v>350515.75257712731</c:v>
                </c:pt>
                <c:pt idx="18">
                  <c:v>145041.00106639744</c:v>
                </c:pt>
                <c:pt idx="19">
                  <c:v>72520.500533198719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FB-4333-84BE-2FBC24649A3D}"/>
            </c:ext>
          </c:extLst>
        </c:ser>
        <c:ser>
          <c:idx val="5"/>
          <c:order val="1"/>
          <c:tx>
            <c:strRef>
              <c:f>'Classification Society'!$I$9</c:f>
              <c:strCache>
                <c:ptCount val="1"/>
                <c:pt idx="0">
                  <c:v>Ms (Hogging) [kN.m]</c:v>
                </c:pt>
              </c:strCache>
            </c:strRef>
          </c:tx>
          <c:val>
            <c:numRef>
              <c:f>'Classification Society'!$I$10:$I$30</c:f>
              <c:numCache>
                <c:formatCode>General</c:formatCode>
                <c:ptCount val="21"/>
                <c:pt idx="0">
                  <c:v>0</c:v>
                </c:pt>
                <c:pt idx="1">
                  <c:v>-62454.563550672705</c:v>
                </c:pt>
                <c:pt idx="2">
                  <c:v>-124909.12710134541</c:v>
                </c:pt>
                <c:pt idx="3">
                  <c:v>-301863.72382825136</c:v>
                </c:pt>
                <c:pt idx="4">
                  <c:v>-478818.32055515749</c:v>
                </c:pt>
                <c:pt idx="5">
                  <c:v>-655772.9172820634</c:v>
                </c:pt>
                <c:pt idx="6">
                  <c:v>-832727.51400896942</c:v>
                </c:pt>
                <c:pt idx="7">
                  <c:v>-832727.51400896942</c:v>
                </c:pt>
                <c:pt idx="8">
                  <c:v>-832727.51400896942</c:v>
                </c:pt>
                <c:pt idx="9">
                  <c:v>-832727.51400896942</c:v>
                </c:pt>
                <c:pt idx="10">
                  <c:v>-832727.51400896942</c:v>
                </c:pt>
                <c:pt idx="11">
                  <c:v>-832727.51400896942</c:v>
                </c:pt>
                <c:pt idx="12">
                  <c:v>-832727.51400896942</c:v>
                </c:pt>
                <c:pt idx="13">
                  <c:v>-832727.51400896942</c:v>
                </c:pt>
                <c:pt idx="14">
                  <c:v>-832727.51400896942</c:v>
                </c:pt>
                <c:pt idx="15">
                  <c:v>-655772.91728206328</c:v>
                </c:pt>
                <c:pt idx="16">
                  <c:v>-478818.32055515726</c:v>
                </c:pt>
                <c:pt idx="17">
                  <c:v>-301863.72382825153</c:v>
                </c:pt>
                <c:pt idx="18">
                  <c:v>-124909.12710134541</c:v>
                </c:pt>
                <c:pt idx="19">
                  <c:v>-62454.563550672705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FB-4333-84BE-2FBC24649A3D}"/>
            </c:ext>
          </c:extLst>
        </c:ser>
        <c:ser>
          <c:idx val="6"/>
          <c:order val="2"/>
          <c:tx>
            <c:strRef>
              <c:f>'Classification Society'!$AA$9</c:f>
              <c:strCache>
                <c:ptCount val="1"/>
                <c:pt idx="0">
                  <c:v>Ms CC [kN.m]</c:v>
                </c:pt>
              </c:strCache>
            </c:strRef>
          </c:tx>
          <c:val>
            <c:numRef>
              <c:f>'Classification Society'!$AA$10:$AA$30</c:f>
              <c:numCache>
                <c:formatCode>General</c:formatCode>
                <c:ptCount val="21"/>
                <c:pt idx="0">
                  <c:v>0</c:v>
                </c:pt>
                <c:pt idx="1">
                  <c:v>-4278.4735136050094</c:v>
                </c:pt>
                <c:pt idx="2">
                  <c:v>-19502.914170893509</c:v>
                </c:pt>
                <c:pt idx="3">
                  <c:v>-48354.300207693115</c:v>
                </c:pt>
                <c:pt idx="4">
                  <c:v>-90115.627244924326</c:v>
                </c:pt>
                <c:pt idx="5">
                  <c:v>-141103.49585569801</c:v>
                </c:pt>
                <c:pt idx="6">
                  <c:v>-195598.13674395366</c:v>
                </c:pt>
                <c:pt idx="7">
                  <c:v>-246973.93931805182</c:v>
                </c:pt>
                <c:pt idx="8">
                  <c:v>-288640.06330654176</c:v>
                </c:pt>
                <c:pt idx="9">
                  <c:v>-314927.26508891681</c:v>
                </c:pt>
                <c:pt idx="10">
                  <c:v>-321997.11306560924</c:v>
                </c:pt>
                <c:pt idx="11">
                  <c:v>-308634.67779188405</c:v>
                </c:pt>
                <c:pt idx="12">
                  <c:v>-276593.15038124606</c:v>
                </c:pt>
                <c:pt idx="13">
                  <c:v>-230250.23450526322</c:v>
                </c:pt>
                <c:pt idx="14">
                  <c:v>-175811.02626249482</c:v>
                </c:pt>
                <c:pt idx="15">
                  <c:v>-120371.45282812306</c:v>
                </c:pt>
                <c:pt idx="16">
                  <c:v>-70935.980272885005</c:v>
                </c:pt>
                <c:pt idx="17">
                  <c:v>-33241.213055312153</c:v>
                </c:pt>
                <c:pt idx="18">
                  <c:v>-10239.005894355132</c:v>
                </c:pt>
                <c:pt idx="19">
                  <c:v>-866.26274275284584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FB-4333-84BE-2FBC24649A3D}"/>
            </c:ext>
          </c:extLst>
        </c:ser>
        <c:ser>
          <c:idx val="7"/>
          <c:order val="3"/>
          <c:tx>
            <c:strRef>
              <c:f>'Classification Society'!$AC$9</c:f>
              <c:strCache>
                <c:ptCount val="1"/>
                <c:pt idx="0">
                  <c:v>Mho CC  [kN.m]</c:v>
                </c:pt>
              </c:strCache>
            </c:strRef>
          </c:tx>
          <c:val>
            <c:numRef>
              <c:f>'Classification Society'!$AC$10:$AC$30</c:f>
              <c:numCache>
                <c:formatCode>General</c:formatCode>
                <c:ptCount val="21"/>
                <c:pt idx="0">
                  <c:v>0</c:v>
                </c:pt>
                <c:pt idx="1">
                  <c:v>5028.7278796722821</c:v>
                </c:pt>
                <c:pt idx="2">
                  <c:v>18454.918768592128</c:v>
                </c:pt>
                <c:pt idx="3">
                  <c:v>44001.306995365223</c:v>
                </c:pt>
                <c:pt idx="4">
                  <c:v>82220.200981888571</c:v>
                </c:pt>
                <c:pt idx="5">
                  <c:v>130252.03163325712</c:v>
                </c:pt>
                <c:pt idx="6">
                  <c:v>182718.7919752328</c:v>
                </c:pt>
                <c:pt idx="7">
                  <c:v>233023.43461946203</c:v>
                </c:pt>
                <c:pt idx="8">
                  <c:v>274471.09530148265</c:v>
                </c:pt>
                <c:pt idx="9">
                  <c:v>301248.53825460526</c:v>
                </c:pt>
                <c:pt idx="10">
                  <c:v>309371.63578194316</c:v>
                </c:pt>
                <c:pt idx="11">
                  <c:v>297493.24900267506</c:v>
                </c:pt>
                <c:pt idx="12">
                  <c:v>267248.62007383909</c:v>
                </c:pt>
                <c:pt idx="13">
                  <c:v>222907.8506811671</c:v>
                </c:pt>
                <c:pt idx="14">
                  <c:v>170568.32976227914</c:v>
                </c:pt>
                <c:pt idx="15">
                  <c:v>117203.98324682337</c:v>
                </c:pt>
                <c:pt idx="16">
                  <c:v>69657.391051629704</c:v>
                </c:pt>
                <c:pt idx="17">
                  <c:v>33430.32325880741</c:v>
                </c:pt>
                <c:pt idx="18">
                  <c:v>11210.688315549232</c:v>
                </c:pt>
                <c:pt idx="19">
                  <c:v>1763.8966716563316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FB-4333-84BE-2FBC24649A3D}"/>
            </c:ext>
          </c:extLst>
        </c:ser>
        <c:ser>
          <c:idx val="0"/>
          <c:order val="4"/>
          <c:tx>
            <c:strRef>
              <c:f>'Classification Society'!$J$9</c:f>
              <c:strCache>
                <c:ptCount val="1"/>
                <c:pt idx="0">
                  <c:v>Ms (Sagging) [kN.m]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'Classification Society'!$J$10:$J$30</c:f>
              <c:numCache>
                <c:formatCode>General</c:formatCode>
                <c:ptCount val="21"/>
                <c:pt idx="0">
                  <c:v>0</c:v>
                </c:pt>
                <c:pt idx="1">
                  <c:v>72520.500533198719</c:v>
                </c:pt>
                <c:pt idx="2">
                  <c:v>145041.00106639744</c:v>
                </c:pt>
                <c:pt idx="3">
                  <c:v>350515.75257712707</c:v>
                </c:pt>
                <c:pt idx="4">
                  <c:v>555990.50408785697</c:v>
                </c:pt>
                <c:pt idx="5">
                  <c:v>761465.25559858652</c:v>
                </c:pt>
                <c:pt idx="6">
                  <c:v>966940.0071093163</c:v>
                </c:pt>
                <c:pt idx="7">
                  <c:v>966940.0071093163</c:v>
                </c:pt>
                <c:pt idx="8">
                  <c:v>966940.0071093163</c:v>
                </c:pt>
                <c:pt idx="9">
                  <c:v>966940.0071093163</c:v>
                </c:pt>
                <c:pt idx="10">
                  <c:v>966940.0071093163</c:v>
                </c:pt>
                <c:pt idx="11">
                  <c:v>966940.0071093163</c:v>
                </c:pt>
                <c:pt idx="12">
                  <c:v>966940.0071093163</c:v>
                </c:pt>
                <c:pt idx="13">
                  <c:v>966940.0071093163</c:v>
                </c:pt>
                <c:pt idx="14">
                  <c:v>966940.0071093163</c:v>
                </c:pt>
                <c:pt idx="15">
                  <c:v>761465.2555985864</c:v>
                </c:pt>
                <c:pt idx="16">
                  <c:v>555990.50408785674</c:v>
                </c:pt>
                <c:pt idx="17">
                  <c:v>350515.75257712731</c:v>
                </c:pt>
                <c:pt idx="18">
                  <c:v>145041.00106639744</c:v>
                </c:pt>
                <c:pt idx="19">
                  <c:v>72520.500533198719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B-4333-84BE-2FBC24649A3D}"/>
            </c:ext>
          </c:extLst>
        </c:ser>
        <c:ser>
          <c:idx val="1"/>
          <c:order val="5"/>
          <c:tx>
            <c:strRef>
              <c:f>'Classification Society'!$I$9</c:f>
              <c:strCache>
                <c:ptCount val="1"/>
                <c:pt idx="0">
                  <c:v>Ms (Hogging) [kN.m]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'Classification Society'!$I$10:$I$30</c:f>
              <c:numCache>
                <c:formatCode>General</c:formatCode>
                <c:ptCount val="21"/>
                <c:pt idx="0">
                  <c:v>0</c:v>
                </c:pt>
                <c:pt idx="1">
                  <c:v>-62454.563550672705</c:v>
                </c:pt>
                <c:pt idx="2">
                  <c:v>-124909.12710134541</c:v>
                </c:pt>
                <c:pt idx="3">
                  <c:v>-301863.72382825136</c:v>
                </c:pt>
                <c:pt idx="4">
                  <c:v>-478818.32055515749</c:v>
                </c:pt>
                <c:pt idx="5">
                  <c:v>-655772.9172820634</c:v>
                </c:pt>
                <c:pt idx="6">
                  <c:v>-832727.51400896942</c:v>
                </c:pt>
                <c:pt idx="7">
                  <c:v>-832727.51400896942</c:v>
                </c:pt>
                <c:pt idx="8">
                  <c:v>-832727.51400896942</c:v>
                </c:pt>
                <c:pt idx="9">
                  <c:v>-832727.51400896942</c:v>
                </c:pt>
                <c:pt idx="10">
                  <c:v>-832727.51400896942</c:v>
                </c:pt>
                <c:pt idx="11">
                  <c:v>-832727.51400896942</c:v>
                </c:pt>
                <c:pt idx="12">
                  <c:v>-832727.51400896942</c:v>
                </c:pt>
                <c:pt idx="13">
                  <c:v>-832727.51400896942</c:v>
                </c:pt>
                <c:pt idx="14">
                  <c:v>-832727.51400896942</c:v>
                </c:pt>
                <c:pt idx="15">
                  <c:v>-655772.91728206328</c:v>
                </c:pt>
                <c:pt idx="16">
                  <c:v>-478818.32055515726</c:v>
                </c:pt>
                <c:pt idx="17">
                  <c:v>-301863.72382825153</c:v>
                </c:pt>
                <c:pt idx="18">
                  <c:v>-124909.12710134541</c:v>
                </c:pt>
                <c:pt idx="19">
                  <c:v>-62454.563550672705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FB-4333-84BE-2FBC24649A3D}"/>
            </c:ext>
          </c:extLst>
        </c:ser>
        <c:ser>
          <c:idx val="2"/>
          <c:order val="6"/>
          <c:tx>
            <c:strRef>
              <c:f>'Classification Society'!$AA$9</c:f>
              <c:strCache>
                <c:ptCount val="1"/>
                <c:pt idx="0">
                  <c:v>Ms CC [kN.m]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'Classification Society'!$AA$10:$AA$30</c:f>
              <c:numCache>
                <c:formatCode>General</c:formatCode>
                <c:ptCount val="21"/>
                <c:pt idx="0">
                  <c:v>0</c:v>
                </c:pt>
                <c:pt idx="1">
                  <c:v>-4278.4735136050094</c:v>
                </c:pt>
                <c:pt idx="2">
                  <c:v>-19502.914170893509</c:v>
                </c:pt>
                <c:pt idx="3">
                  <c:v>-48354.300207693115</c:v>
                </c:pt>
                <c:pt idx="4">
                  <c:v>-90115.627244924326</c:v>
                </c:pt>
                <c:pt idx="5">
                  <c:v>-141103.49585569801</c:v>
                </c:pt>
                <c:pt idx="6">
                  <c:v>-195598.13674395366</c:v>
                </c:pt>
                <c:pt idx="7">
                  <c:v>-246973.93931805182</c:v>
                </c:pt>
                <c:pt idx="8">
                  <c:v>-288640.06330654176</c:v>
                </c:pt>
                <c:pt idx="9">
                  <c:v>-314927.26508891681</c:v>
                </c:pt>
                <c:pt idx="10">
                  <c:v>-321997.11306560924</c:v>
                </c:pt>
                <c:pt idx="11">
                  <c:v>-308634.67779188405</c:v>
                </c:pt>
                <c:pt idx="12">
                  <c:v>-276593.15038124606</c:v>
                </c:pt>
                <c:pt idx="13">
                  <c:v>-230250.23450526322</c:v>
                </c:pt>
                <c:pt idx="14">
                  <c:v>-175811.02626249482</c:v>
                </c:pt>
                <c:pt idx="15">
                  <c:v>-120371.45282812306</c:v>
                </c:pt>
                <c:pt idx="16">
                  <c:v>-70935.980272885005</c:v>
                </c:pt>
                <c:pt idx="17">
                  <c:v>-33241.213055312153</c:v>
                </c:pt>
                <c:pt idx="18">
                  <c:v>-10239.005894355132</c:v>
                </c:pt>
                <c:pt idx="19">
                  <c:v>-866.26274275284584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FB-4333-84BE-2FBC24649A3D}"/>
            </c:ext>
          </c:extLst>
        </c:ser>
        <c:ser>
          <c:idx val="3"/>
          <c:order val="7"/>
          <c:tx>
            <c:strRef>
              <c:f>'Classification Society'!$AC$9</c:f>
              <c:strCache>
                <c:ptCount val="1"/>
                <c:pt idx="0">
                  <c:v>Mho CC  [kN.m]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'Classification Society'!$AC$10:$AC$30</c:f>
              <c:numCache>
                <c:formatCode>General</c:formatCode>
                <c:ptCount val="21"/>
                <c:pt idx="0">
                  <c:v>0</c:v>
                </c:pt>
                <c:pt idx="1">
                  <c:v>5028.7278796722821</c:v>
                </c:pt>
                <c:pt idx="2">
                  <c:v>18454.918768592128</c:v>
                </c:pt>
                <c:pt idx="3">
                  <c:v>44001.306995365223</c:v>
                </c:pt>
                <c:pt idx="4">
                  <c:v>82220.200981888571</c:v>
                </c:pt>
                <c:pt idx="5">
                  <c:v>130252.03163325712</c:v>
                </c:pt>
                <c:pt idx="6">
                  <c:v>182718.7919752328</c:v>
                </c:pt>
                <c:pt idx="7">
                  <c:v>233023.43461946203</c:v>
                </c:pt>
                <c:pt idx="8">
                  <c:v>274471.09530148265</c:v>
                </c:pt>
                <c:pt idx="9">
                  <c:v>301248.53825460526</c:v>
                </c:pt>
                <c:pt idx="10">
                  <c:v>309371.63578194316</c:v>
                </c:pt>
                <c:pt idx="11">
                  <c:v>297493.24900267506</c:v>
                </c:pt>
                <c:pt idx="12">
                  <c:v>267248.62007383909</c:v>
                </c:pt>
                <c:pt idx="13">
                  <c:v>222907.8506811671</c:v>
                </c:pt>
                <c:pt idx="14">
                  <c:v>170568.32976227914</c:v>
                </c:pt>
                <c:pt idx="15">
                  <c:v>117203.98324682337</c:v>
                </c:pt>
                <c:pt idx="16">
                  <c:v>69657.391051629704</c:v>
                </c:pt>
                <c:pt idx="17">
                  <c:v>33430.32325880741</c:v>
                </c:pt>
                <c:pt idx="18">
                  <c:v>11210.688315549232</c:v>
                </c:pt>
                <c:pt idx="19">
                  <c:v>1763.8966716563316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FB-4333-84BE-2FBC24649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51456"/>
        <c:axId val="1284049536"/>
      </c:lineChart>
      <c:catAx>
        <c:axId val="128405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49536"/>
        <c:crosses val="autoZero"/>
        <c:auto val="1"/>
        <c:lblAlgn val="ctr"/>
        <c:lblOffset val="100"/>
        <c:noMultiLvlLbl val="0"/>
      </c:catAx>
      <c:valAx>
        <c:axId val="12840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514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'Classification Society'!$L$9</c:f>
              <c:strCache>
                <c:ptCount val="1"/>
                <c:pt idx="0">
                  <c:v>Qs (Hogging) [kN]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'Classification Society'!$L$10:$L$30</c:f>
              <c:numCache>
                <c:formatCode>General</c:formatCode>
                <c:ptCount val="21"/>
                <c:pt idx="0">
                  <c:v>0</c:v>
                </c:pt>
                <c:pt idx="1">
                  <c:v>8618.0036284252783</c:v>
                </c:pt>
                <c:pt idx="2">
                  <c:v>17236.007256850557</c:v>
                </c:pt>
                <c:pt idx="3">
                  <c:v>25854.010885275835</c:v>
                </c:pt>
                <c:pt idx="4">
                  <c:v>25854.010885275835</c:v>
                </c:pt>
                <c:pt idx="5">
                  <c:v>25854.010885275835</c:v>
                </c:pt>
                <c:pt idx="6">
                  <c:v>25854.010885275835</c:v>
                </c:pt>
                <c:pt idx="7">
                  <c:v>23268.609796748253</c:v>
                </c:pt>
                <c:pt idx="8">
                  <c:v>20683.208708220671</c:v>
                </c:pt>
                <c:pt idx="9">
                  <c:v>20683.208708220671</c:v>
                </c:pt>
                <c:pt idx="10">
                  <c:v>20683.208708220671</c:v>
                </c:pt>
                <c:pt idx="11">
                  <c:v>20683.208708220671</c:v>
                </c:pt>
                <c:pt idx="12">
                  <c:v>20683.208708220671</c:v>
                </c:pt>
                <c:pt idx="13">
                  <c:v>23268.609796748253</c:v>
                </c:pt>
                <c:pt idx="14">
                  <c:v>25854.010885275835</c:v>
                </c:pt>
                <c:pt idx="15">
                  <c:v>25854.010885275835</c:v>
                </c:pt>
                <c:pt idx="16">
                  <c:v>25854.010885275835</c:v>
                </c:pt>
                <c:pt idx="17">
                  <c:v>25854.010885275835</c:v>
                </c:pt>
                <c:pt idx="18">
                  <c:v>17236.007256850557</c:v>
                </c:pt>
                <c:pt idx="19">
                  <c:v>8618.0036284252783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A-478F-82F5-66C14879C437}"/>
            </c:ext>
          </c:extLst>
        </c:ser>
        <c:ser>
          <c:idx val="1"/>
          <c:order val="1"/>
          <c:tx>
            <c:strRef>
              <c:f>'Classification Society'!$K$9</c:f>
              <c:strCache>
                <c:ptCount val="1"/>
                <c:pt idx="0">
                  <c:v>Qs (Sagging) [kN]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'Classification Society'!$K$10:$K$30</c:f>
              <c:numCache>
                <c:formatCode>General</c:formatCode>
                <c:ptCount val="21"/>
                <c:pt idx="0">
                  <c:v>0</c:v>
                </c:pt>
                <c:pt idx="1">
                  <c:v>-7421.813850347321</c:v>
                </c:pt>
                <c:pt idx="2">
                  <c:v>-14843.627700694642</c:v>
                </c:pt>
                <c:pt idx="3">
                  <c:v>-22265.441551041964</c:v>
                </c:pt>
                <c:pt idx="4">
                  <c:v>-22265.441551041964</c:v>
                </c:pt>
                <c:pt idx="5">
                  <c:v>-22265.441551041964</c:v>
                </c:pt>
                <c:pt idx="6">
                  <c:v>-22265.441551041964</c:v>
                </c:pt>
                <c:pt idx="7">
                  <c:v>-20038.897395937769</c:v>
                </c:pt>
                <c:pt idx="8">
                  <c:v>-17812.35324083357</c:v>
                </c:pt>
                <c:pt idx="9">
                  <c:v>-17812.35324083357</c:v>
                </c:pt>
                <c:pt idx="10">
                  <c:v>-17812.35324083357</c:v>
                </c:pt>
                <c:pt idx="11">
                  <c:v>-17812.35324083357</c:v>
                </c:pt>
                <c:pt idx="12">
                  <c:v>-17812.35324083357</c:v>
                </c:pt>
                <c:pt idx="13">
                  <c:v>-20038.897395937769</c:v>
                </c:pt>
                <c:pt idx="14">
                  <c:v>-22265.441551041964</c:v>
                </c:pt>
                <c:pt idx="15">
                  <c:v>-22265.441551041964</c:v>
                </c:pt>
                <c:pt idx="16">
                  <c:v>-22265.441551041964</c:v>
                </c:pt>
                <c:pt idx="17">
                  <c:v>-22265.441551041964</c:v>
                </c:pt>
                <c:pt idx="18">
                  <c:v>-14843.627700694642</c:v>
                </c:pt>
                <c:pt idx="19">
                  <c:v>-7421.813850347321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A-478F-82F5-66C14879C437}"/>
            </c:ext>
          </c:extLst>
        </c:ser>
        <c:ser>
          <c:idx val="2"/>
          <c:order val="2"/>
          <c:tx>
            <c:strRef>
              <c:f>'Classification Society'!$AK$9</c:f>
              <c:strCache>
                <c:ptCount val="1"/>
                <c:pt idx="0">
                  <c:v>Qs CC [kN]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'Classification Society'!$AK$10:$AK$30</c:f>
              <c:numCache>
                <c:formatCode>General</c:formatCode>
                <c:ptCount val="21"/>
                <c:pt idx="0">
                  <c:v>0</c:v>
                </c:pt>
                <c:pt idx="1">
                  <c:v>-924.10967359429185</c:v>
                </c:pt>
                <c:pt idx="2">
                  <c:v>-2322.9147928476596</c:v>
                </c:pt>
                <c:pt idx="3">
                  <c:v>-3820.4957468328835</c:v>
                </c:pt>
                <c:pt idx="4">
                  <c:v>-5065.9309454275353</c:v>
                </c:pt>
                <c:pt idx="5">
                  <c:v>-5775.6189738749808</c:v>
                </c:pt>
                <c:pt idx="6">
                  <c:v>-5797.5741091411755</c:v>
                </c:pt>
                <c:pt idx="7">
                  <c:v>-5090.0192302860614</c:v>
                </c:pt>
                <c:pt idx="8">
                  <c:v>-3702.1689598943562</c:v>
                </c:pt>
                <c:pt idx="9">
                  <c:v>-1781.9416488452975</c:v>
                </c:pt>
                <c:pt idx="10">
                  <c:v>426.96350915447579</c:v>
                </c:pt>
                <c:pt idx="11">
                  <c:v>2607.0687762965945</c:v>
                </c:pt>
                <c:pt idx="12">
                  <c:v>4440.9597923701886</c:v>
                </c:pt>
                <c:pt idx="13">
                  <c:v>5684.6578570378742</c:v>
                </c:pt>
                <c:pt idx="14">
                  <c:v>6191.255589997204</c:v>
                </c:pt>
                <c:pt idx="15">
                  <c:v>5917.1082695991681</c:v>
                </c:pt>
                <c:pt idx="16">
                  <c:v>4925.4244901013672</c:v>
                </c:pt>
                <c:pt idx="17">
                  <c:v>3424.1960021030127</c:v>
                </c:pt>
                <c:pt idx="18">
                  <c:v>1801.099448498129</c:v>
                </c:pt>
                <c:pt idx="19">
                  <c:v>527.27118451284059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A-478F-82F5-66C14879C437}"/>
            </c:ext>
          </c:extLst>
        </c:ser>
        <c:ser>
          <c:idx val="3"/>
          <c:order val="3"/>
          <c:tx>
            <c:strRef>
              <c:f>'Classification Society'!$AM$9</c:f>
              <c:strCache>
                <c:ptCount val="1"/>
                <c:pt idx="0">
                  <c:v>Qho CC [kN]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'Classification Society'!$AM$10:$AM$30</c:f>
              <c:numCache>
                <c:formatCode>General</c:formatCode>
                <c:ptCount val="21"/>
                <c:pt idx="0">
                  <c:v>0</c:v>
                </c:pt>
                <c:pt idx="1">
                  <c:v>635.88485693733355</c:v>
                </c:pt>
                <c:pt idx="2">
                  <c:v>1814.7159476916579</c:v>
                </c:pt>
                <c:pt idx="3">
                  <c:v>3246.9076128868896</c:v>
                </c:pt>
                <c:pt idx="4">
                  <c:v>4543.8795425496692</c:v>
                </c:pt>
                <c:pt idx="5">
                  <c:v>5364.3986740753689</c:v>
                </c:pt>
                <c:pt idx="6">
                  <c:v>5510.9947803717187</c:v>
                </c:pt>
                <c:pt idx="7">
                  <c:v>4920.3807806987752</c:v>
                </c:pt>
                <c:pt idx="8">
                  <c:v>3634.9203598374688</c:v>
                </c:pt>
                <c:pt idx="9">
                  <c:v>1800.833468894062</c:v>
                </c:pt>
                <c:pt idx="10">
                  <c:v>-336.84678017831504</c:v>
                </c:pt>
                <c:pt idx="11">
                  <c:v>-2459.0917204952607</c:v>
                </c:pt>
                <c:pt idx="12">
                  <c:v>-4246.9875509498615</c:v>
                </c:pt>
                <c:pt idx="13">
                  <c:v>-5455.841756350882</c:v>
                </c:pt>
                <c:pt idx="14">
                  <c:v>-5939.4832685979945</c:v>
                </c:pt>
                <c:pt idx="15">
                  <c:v>-5656.5886120421974</c:v>
                </c:pt>
                <c:pt idx="16">
                  <c:v>-4676.5766661438629</c:v>
                </c:pt>
                <c:pt idx="17">
                  <c:v>-3216.8327941636308</c:v>
                </c:pt>
                <c:pt idx="18">
                  <c:v>-1661.8671697213931</c:v>
                </c:pt>
                <c:pt idx="19">
                  <c:v>-466.20662398690132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1A-478F-82F5-66C14879C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36544"/>
        <c:axId val="1720342304"/>
      </c:lineChart>
      <c:catAx>
        <c:axId val="172033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2304"/>
        <c:crosses val="autoZero"/>
        <c:auto val="1"/>
        <c:lblAlgn val="ctr"/>
        <c:lblOffset val="100"/>
        <c:noMultiLvlLbl val="0"/>
      </c:catAx>
      <c:valAx>
        <c:axId val="17203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3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'Classification Society'!$J$9</c:f>
              <c:strCache>
                <c:ptCount val="1"/>
                <c:pt idx="0">
                  <c:v>Ms (Sagging) [kN.m]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'Classification Society'!$J$10:$J$30</c:f>
              <c:numCache>
                <c:formatCode>General</c:formatCode>
                <c:ptCount val="21"/>
                <c:pt idx="0">
                  <c:v>0</c:v>
                </c:pt>
                <c:pt idx="1">
                  <c:v>72520.500533198719</c:v>
                </c:pt>
                <c:pt idx="2">
                  <c:v>145041.00106639744</c:v>
                </c:pt>
                <c:pt idx="3">
                  <c:v>350515.75257712707</c:v>
                </c:pt>
                <c:pt idx="4">
                  <c:v>555990.50408785697</c:v>
                </c:pt>
                <c:pt idx="5">
                  <c:v>761465.25559858652</c:v>
                </c:pt>
                <c:pt idx="6">
                  <c:v>966940.0071093163</c:v>
                </c:pt>
                <c:pt idx="7">
                  <c:v>966940.0071093163</c:v>
                </c:pt>
                <c:pt idx="8">
                  <c:v>966940.0071093163</c:v>
                </c:pt>
                <c:pt idx="9">
                  <c:v>966940.0071093163</c:v>
                </c:pt>
                <c:pt idx="10">
                  <c:v>966940.0071093163</c:v>
                </c:pt>
                <c:pt idx="11">
                  <c:v>966940.0071093163</c:v>
                </c:pt>
                <c:pt idx="12">
                  <c:v>966940.0071093163</c:v>
                </c:pt>
                <c:pt idx="13">
                  <c:v>966940.0071093163</c:v>
                </c:pt>
                <c:pt idx="14">
                  <c:v>966940.0071093163</c:v>
                </c:pt>
                <c:pt idx="15">
                  <c:v>761465.2555985864</c:v>
                </c:pt>
                <c:pt idx="16">
                  <c:v>555990.50408785674</c:v>
                </c:pt>
                <c:pt idx="17">
                  <c:v>350515.75257712731</c:v>
                </c:pt>
                <c:pt idx="18">
                  <c:v>145041.00106639744</c:v>
                </c:pt>
                <c:pt idx="19">
                  <c:v>72520.500533198719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2-40BC-8FAB-1A18852FB786}"/>
            </c:ext>
          </c:extLst>
        </c:ser>
        <c:ser>
          <c:idx val="1"/>
          <c:order val="1"/>
          <c:tx>
            <c:strRef>
              <c:f>'Classification Society'!$I$9</c:f>
              <c:strCache>
                <c:ptCount val="1"/>
                <c:pt idx="0">
                  <c:v>Ms (Hogging) [kN.m]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'Classification Society'!$I$10:$I$30</c:f>
              <c:numCache>
                <c:formatCode>General</c:formatCode>
                <c:ptCount val="21"/>
                <c:pt idx="0">
                  <c:v>0</c:v>
                </c:pt>
                <c:pt idx="1">
                  <c:v>-62454.563550672705</c:v>
                </c:pt>
                <c:pt idx="2">
                  <c:v>-124909.12710134541</c:v>
                </c:pt>
                <c:pt idx="3">
                  <c:v>-301863.72382825136</c:v>
                </c:pt>
                <c:pt idx="4">
                  <c:v>-478818.32055515749</c:v>
                </c:pt>
                <c:pt idx="5">
                  <c:v>-655772.9172820634</c:v>
                </c:pt>
                <c:pt idx="6">
                  <c:v>-832727.51400896942</c:v>
                </c:pt>
                <c:pt idx="7">
                  <c:v>-832727.51400896942</c:v>
                </c:pt>
                <c:pt idx="8">
                  <c:v>-832727.51400896942</c:v>
                </c:pt>
                <c:pt idx="9">
                  <c:v>-832727.51400896942</c:v>
                </c:pt>
                <c:pt idx="10">
                  <c:v>-832727.51400896942</c:v>
                </c:pt>
                <c:pt idx="11">
                  <c:v>-832727.51400896942</c:v>
                </c:pt>
                <c:pt idx="12">
                  <c:v>-832727.51400896942</c:v>
                </c:pt>
                <c:pt idx="13">
                  <c:v>-832727.51400896942</c:v>
                </c:pt>
                <c:pt idx="14">
                  <c:v>-832727.51400896942</c:v>
                </c:pt>
                <c:pt idx="15">
                  <c:v>-655772.91728206328</c:v>
                </c:pt>
                <c:pt idx="16">
                  <c:v>-478818.32055515726</c:v>
                </c:pt>
                <c:pt idx="17">
                  <c:v>-301863.72382825153</c:v>
                </c:pt>
                <c:pt idx="18">
                  <c:v>-124909.12710134541</c:v>
                </c:pt>
                <c:pt idx="19">
                  <c:v>-62454.563550672705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2-40BC-8FAB-1A18852FB786}"/>
            </c:ext>
          </c:extLst>
        </c:ser>
        <c:ser>
          <c:idx val="2"/>
          <c:order val="2"/>
          <c:tx>
            <c:strRef>
              <c:f>'Classification Society'!$AB$9</c:f>
              <c:strCache>
                <c:ptCount val="1"/>
                <c:pt idx="0">
                  <c:v>Ms BC [kN.m]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'Classification Society'!$AB$10:$AB$30</c:f>
              <c:numCache>
                <c:formatCode>General</c:formatCode>
                <c:ptCount val="21"/>
                <c:pt idx="0">
                  <c:v>0</c:v>
                </c:pt>
                <c:pt idx="1">
                  <c:v>-3316.1985012160244</c:v>
                </c:pt>
                <c:pt idx="2">
                  <c:v>-16258.404018038256</c:v>
                </c:pt>
                <c:pt idx="3">
                  <c:v>-42231.311972313182</c:v>
                </c:pt>
                <c:pt idx="4">
                  <c:v>-81290.230244846258</c:v>
                </c:pt>
                <c:pt idx="5">
                  <c:v>-130201.83550035562</c:v>
                </c:pt>
                <c:pt idx="6">
                  <c:v>-183380.21563809353</c:v>
                </c:pt>
                <c:pt idx="7">
                  <c:v>-234151.45611651815</c:v>
                </c:pt>
                <c:pt idx="8">
                  <c:v>-275828.05743077747</c:v>
                </c:pt>
                <c:pt idx="9">
                  <c:v>-302642.87901740818</c:v>
                </c:pt>
                <c:pt idx="10">
                  <c:v>-310660.9906507241</c:v>
                </c:pt>
                <c:pt idx="11">
                  <c:v>-298573.68655307253</c:v>
                </c:pt>
                <c:pt idx="12">
                  <c:v>-268042.82105106104</c:v>
                </c:pt>
                <c:pt idx="13">
                  <c:v>-223356.22254015811</c:v>
                </c:pt>
                <c:pt idx="14">
                  <c:v>-170629.37802877315</c:v>
                </c:pt>
                <c:pt idx="15">
                  <c:v>-116866.15051404478</c:v>
                </c:pt>
                <c:pt idx="16">
                  <c:v>-68960.941884459695</c:v>
                </c:pt>
                <c:pt idx="17">
                  <c:v>-32500.645518683003</c:v>
                </c:pt>
                <c:pt idx="18">
                  <c:v>-10277.018004974641</c:v>
                </c:pt>
                <c:pt idx="19">
                  <c:v>-1134.8097495489692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12-40BC-8FAB-1A18852FB786}"/>
            </c:ext>
          </c:extLst>
        </c:ser>
        <c:ser>
          <c:idx val="3"/>
          <c:order val="3"/>
          <c:tx>
            <c:strRef>
              <c:f>'Classification Society'!$AD$9</c:f>
              <c:strCache>
                <c:ptCount val="1"/>
                <c:pt idx="0">
                  <c:v>Mho BC [kN.m]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'Classification Society'!$AD$10:$AD$30</c:f>
              <c:numCache>
                <c:formatCode>General</c:formatCode>
                <c:ptCount val="21"/>
                <c:pt idx="0">
                  <c:v>0</c:v>
                </c:pt>
                <c:pt idx="1">
                  <c:v>3990.9926702297953</c:v>
                </c:pt>
                <c:pt idx="2">
                  <c:v>15281.441293182237</c:v>
                </c:pt>
                <c:pt idx="3">
                  <c:v>38052.412783398373</c:v>
                </c:pt>
                <c:pt idx="4">
                  <c:v>73516.222278597794</c:v>
                </c:pt>
                <c:pt idx="5">
                  <c:v>119296.12403342965</c:v>
                </c:pt>
                <c:pt idx="6">
                  <c:v>170230.77068833838</c:v>
                </c:pt>
                <c:pt idx="7">
                  <c:v>219739.98229035173</c:v>
                </c:pt>
                <c:pt idx="8">
                  <c:v>261060.31134362647</c:v>
                </c:pt>
                <c:pt idx="9">
                  <c:v>288294.12059135025</c:v>
                </c:pt>
                <c:pt idx="10">
                  <c:v>297367.72870672127</c:v>
                </c:pt>
                <c:pt idx="11">
                  <c:v>286833.00620347605</c:v>
                </c:pt>
                <c:pt idx="12">
                  <c:v>258211.98658871054</c:v>
                </c:pt>
                <c:pt idx="13">
                  <c:v>215652.53643373074</c:v>
                </c:pt>
                <c:pt idx="14">
                  <c:v>165126.85287594961</c:v>
                </c:pt>
                <c:pt idx="15">
                  <c:v>113484.23289345473</c:v>
                </c:pt>
                <c:pt idx="16">
                  <c:v>67442.545415092405</c:v>
                </c:pt>
                <c:pt idx="17">
                  <c:v>32381.950430912646</c:v>
                </c:pt>
                <c:pt idx="18">
                  <c:v>10902.345659312365</c:v>
                </c:pt>
                <c:pt idx="19">
                  <c:v>1767.6368236095404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12-40BC-8FAB-1A18852FB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051456"/>
        <c:axId val="1284049536"/>
      </c:lineChart>
      <c:catAx>
        <c:axId val="1284051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49536"/>
        <c:crosses val="autoZero"/>
        <c:auto val="1"/>
        <c:lblAlgn val="ctr"/>
        <c:lblOffset val="100"/>
        <c:noMultiLvlLbl val="0"/>
      </c:catAx>
      <c:valAx>
        <c:axId val="12840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8405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'Classification Society'!$L$9</c:f>
              <c:strCache>
                <c:ptCount val="1"/>
                <c:pt idx="0">
                  <c:v>Qs (Hogging) [kN]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'Classification Society'!$L$10:$L$30</c:f>
              <c:numCache>
                <c:formatCode>General</c:formatCode>
                <c:ptCount val="21"/>
                <c:pt idx="0">
                  <c:v>0</c:v>
                </c:pt>
                <c:pt idx="1">
                  <c:v>8618.0036284252783</c:v>
                </c:pt>
                <c:pt idx="2">
                  <c:v>17236.007256850557</c:v>
                </c:pt>
                <c:pt idx="3">
                  <c:v>25854.010885275835</c:v>
                </c:pt>
                <c:pt idx="4">
                  <c:v>25854.010885275835</c:v>
                </c:pt>
                <c:pt idx="5">
                  <c:v>25854.010885275835</c:v>
                </c:pt>
                <c:pt idx="6">
                  <c:v>25854.010885275835</c:v>
                </c:pt>
                <c:pt idx="7">
                  <c:v>23268.609796748253</c:v>
                </c:pt>
                <c:pt idx="8">
                  <c:v>20683.208708220671</c:v>
                </c:pt>
                <c:pt idx="9">
                  <c:v>20683.208708220671</c:v>
                </c:pt>
                <c:pt idx="10">
                  <c:v>20683.208708220671</c:v>
                </c:pt>
                <c:pt idx="11">
                  <c:v>20683.208708220671</c:v>
                </c:pt>
                <c:pt idx="12">
                  <c:v>20683.208708220671</c:v>
                </c:pt>
                <c:pt idx="13">
                  <c:v>23268.609796748253</c:v>
                </c:pt>
                <c:pt idx="14">
                  <c:v>25854.010885275835</c:v>
                </c:pt>
                <c:pt idx="15">
                  <c:v>25854.010885275835</c:v>
                </c:pt>
                <c:pt idx="16">
                  <c:v>25854.010885275835</c:v>
                </c:pt>
                <c:pt idx="17">
                  <c:v>25854.010885275835</c:v>
                </c:pt>
                <c:pt idx="18">
                  <c:v>17236.007256850557</c:v>
                </c:pt>
                <c:pt idx="19">
                  <c:v>8618.0036284252783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7-4B45-B4E0-9F1C16A6A1C5}"/>
            </c:ext>
          </c:extLst>
        </c:ser>
        <c:ser>
          <c:idx val="1"/>
          <c:order val="1"/>
          <c:tx>
            <c:strRef>
              <c:f>'Classification Society'!$K$9</c:f>
              <c:strCache>
                <c:ptCount val="1"/>
                <c:pt idx="0">
                  <c:v>Qs (Sagging) [kN]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'Classification Society'!$K$10:$K$30</c:f>
              <c:numCache>
                <c:formatCode>General</c:formatCode>
                <c:ptCount val="21"/>
                <c:pt idx="0">
                  <c:v>0</c:v>
                </c:pt>
                <c:pt idx="1">
                  <c:v>-7421.813850347321</c:v>
                </c:pt>
                <c:pt idx="2">
                  <c:v>-14843.627700694642</c:v>
                </c:pt>
                <c:pt idx="3">
                  <c:v>-22265.441551041964</c:v>
                </c:pt>
                <c:pt idx="4">
                  <c:v>-22265.441551041964</c:v>
                </c:pt>
                <c:pt idx="5">
                  <c:v>-22265.441551041964</c:v>
                </c:pt>
                <c:pt idx="6">
                  <c:v>-22265.441551041964</c:v>
                </c:pt>
                <c:pt idx="7">
                  <c:v>-20038.897395937769</c:v>
                </c:pt>
                <c:pt idx="8">
                  <c:v>-17812.35324083357</c:v>
                </c:pt>
                <c:pt idx="9">
                  <c:v>-17812.35324083357</c:v>
                </c:pt>
                <c:pt idx="10">
                  <c:v>-17812.35324083357</c:v>
                </c:pt>
                <c:pt idx="11">
                  <c:v>-17812.35324083357</c:v>
                </c:pt>
                <c:pt idx="12">
                  <c:v>-17812.35324083357</c:v>
                </c:pt>
                <c:pt idx="13">
                  <c:v>-20038.897395937769</c:v>
                </c:pt>
                <c:pt idx="14">
                  <c:v>-22265.441551041964</c:v>
                </c:pt>
                <c:pt idx="15">
                  <c:v>-22265.441551041964</c:v>
                </c:pt>
                <c:pt idx="16">
                  <c:v>-22265.441551041964</c:v>
                </c:pt>
                <c:pt idx="17">
                  <c:v>-22265.441551041964</c:v>
                </c:pt>
                <c:pt idx="18">
                  <c:v>-14843.627700694642</c:v>
                </c:pt>
                <c:pt idx="19">
                  <c:v>-7421.813850347321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7-4B45-B4E0-9F1C16A6A1C5}"/>
            </c:ext>
          </c:extLst>
        </c:ser>
        <c:ser>
          <c:idx val="2"/>
          <c:order val="2"/>
          <c:tx>
            <c:strRef>
              <c:f>'Classification Society'!$AL$9</c:f>
              <c:strCache>
                <c:ptCount val="1"/>
                <c:pt idx="0">
                  <c:v>Qs BC [kN]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'Classification Society'!$AL$10:$AL$30</c:f>
              <c:numCache>
                <c:formatCode>General</c:formatCode>
                <c:ptCount val="21"/>
                <c:pt idx="0">
                  <c:v>0</c:v>
                </c:pt>
                <c:pt idx="1">
                  <c:v>-756.05965883282579</c:v>
                </c:pt>
                <c:pt idx="2">
                  <c:v>-2043.9432774161064</c:v>
                </c:pt>
                <c:pt idx="3">
                  <c:v>-3528.2800318310678</c:v>
                </c:pt>
                <c:pt idx="4">
                  <c:v>-4827.9942131534826</c:v>
                </c:pt>
                <c:pt idx="5">
                  <c:v>-5620.7110028022762</c:v>
                </c:pt>
                <c:pt idx="6">
                  <c:v>-5725.5776759433438</c:v>
                </c:pt>
                <c:pt idx="7">
                  <c:v>-5090.7191625885489</c:v>
                </c:pt>
                <c:pt idx="8">
                  <c:v>-3765.1046582211575</c:v>
                </c:pt>
                <c:pt idx="9">
                  <c:v>-1896.6331901148546</c:v>
                </c:pt>
                <c:pt idx="10">
                  <c:v>270.67761921214054</c:v>
                </c:pt>
                <c:pt idx="11">
                  <c:v>2419.0861520569929</c:v>
                </c:pt>
                <c:pt idx="12">
                  <c:v>4230.9201000775693</c:v>
                </c:pt>
                <c:pt idx="13">
                  <c:v>5462.1460884371654</c:v>
                </c:pt>
                <c:pt idx="14">
                  <c:v>5965.8544731616266</c:v>
                </c:pt>
                <c:pt idx="15">
                  <c:v>5698.9279487642934</c:v>
                </c:pt>
                <c:pt idx="16">
                  <c:v>4727.8979616199395</c:v>
                </c:pt>
                <c:pt idx="17">
                  <c:v>3265.9140300215176</c:v>
                </c:pt>
                <c:pt idx="18">
                  <c:v>1697.7168582226293</c:v>
                </c:pt>
                <c:pt idx="19">
                  <c:v>482.84513919867828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87-4B45-B4E0-9F1C16A6A1C5}"/>
            </c:ext>
          </c:extLst>
        </c:ser>
        <c:ser>
          <c:idx val="3"/>
          <c:order val="3"/>
          <c:tx>
            <c:strRef>
              <c:f>'Classification Society'!$AN$9</c:f>
              <c:strCache>
                <c:ptCount val="1"/>
                <c:pt idx="0">
                  <c:v>Qho BC [kN]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'Classification Society'!$AN$10:$AN$30</c:f>
              <c:numCache>
                <c:formatCode>General</c:formatCode>
                <c:ptCount val="21"/>
                <c:pt idx="0">
                  <c:v>0</c:v>
                </c:pt>
                <c:pt idx="1">
                  <c:v>505.24207824146134</c:v>
                </c:pt>
                <c:pt idx="2">
                  <c:v>1576.473585797891</c:v>
                </c:pt>
                <c:pt idx="3">
                  <c:v>2976.0615281123028</c:v>
                </c:pt>
                <c:pt idx="4">
                  <c:v>4306.6117817050072</c:v>
                </c:pt>
                <c:pt idx="5">
                  <c:v>5197.8049121796676</c:v>
                </c:pt>
                <c:pt idx="6">
                  <c:v>5424.3236450118275</c:v>
                </c:pt>
                <c:pt idx="7">
                  <c:v>4907.9916518560476</c:v>
                </c:pt>
                <c:pt idx="8">
                  <c:v>3687.7836476094517</c:v>
                </c:pt>
                <c:pt idx="9">
                  <c:v>1909.9249685045106</c:v>
                </c:pt>
                <c:pt idx="10">
                  <c:v>-181.6587206194958</c:v>
                </c:pt>
                <c:pt idx="11">
                  <c:v>-2269.2777176417253</c:v>
                </c:pt>
                <c:pt idx="12">
                  <c:v>-4035.292742146311</c:v>
                </c:pt>
                <c:pt idx="13">
                  <c:v>-5235.6675527929156</c:v>
                </c:pt>
                <c:pt idx="14">
                  <c:v>-5724.2072537867016</c:v>
                </c:pt>
                <c:pt idx="15">
                  <c:v>-5459.4918017407745</c:v>
                </c:pt>
                <c:pt idx="16">
                  <c:v>-4511.0541917513947</c:v>
                </c:pt>
                <c:pt idx="17">
                  <c:v>-3095.5023781974555</c:v>
                </c:pt>
                <c:pt idx="18">
                  <c:v>-1590.9369140055144</c:v>
                </c:pt>
                <c:pt idx="19">
                  <c:v>-439.79029332474119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87-4B45-B4E0-9F1C16A6A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336544"/>
        <c:axId val="1720342304"/>
      </c:lineChart>
      <c:catAx>
        <c:axId val="172033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42304"/>
        <c:crosses val="autoZero"/>
        <c:auto val="1"/>
        <c:lblAlgn val="ctr"/>
        <c:lblOffset val="100"/>
        <c:noMultiLvlLbl val="0"/>
      </c:catAx>
      <c:valAx>
        <c:axId val="17203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33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Normal Tension (Cargo)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4.2334248347887328E-2"/>
          <c:y val="0.13856395426040383"/>
          <c:w val="0.92240375406031183"/>
          <c:h val="0.6807466901025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'Normal Stress'!$L$23</c:f>
              <c:strCache>
                <c:ptCount val="1"/>
                <c:pt idx="0">
                  <c:v>Allowed Tension [Mpa]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'Normal Stress'!$L$12:$M$12</c:f>
              <c:numCache>
                <c:formatCode>General</c:formatCode>
                <c:ptCount val="2"/>
                <c:pt idx="0">
                  <c:v>-138</c:v>
                </c:pt>
                <c:pt idx="1">
                  <c:v>-138</c:v>
                </c:pt>
              </c:numCache>
            </c:numRef>
          </c:xVal>
          <c:yVal>
            <c:numRef>
              <c:f>'Normal Stress'!$L$11:$M$11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4-4B26-9CB3-DC27FDB7B0F2}"/>
            </c:ext>
          </c:extLst>
        </c:ser>
        <c:ser>
          <c:idx val="1"/>
          <c:order val="1"/>
          <c:tx>
            <c:strRef>
              <c:f>'Normal Stress'!$L$22</c:f>
              <c:strCache>
                <c:ptCount val="1"/>
                <c:pt idx="0">
                  <c:v>Yield Strenght [Mpa]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'Normal Stress'!$N$12:$O$12</c:f>
              <c:numCache>
                <c:formatCode>General</c:formatCode>
                <c:ptCount val="2"/>
                <c:pt idx="0">
                  <c:v>138</c:v>
                </c:pt>
                <c:pt idx="1">
                  <c:v>138</c:v>
                </c:pt>
              </c:numCache>
            </c:numRef>
          </c:xVal>
          <c:yVal>
            <c:numRef>
              <c:f>'Normal Stress'!$N$11:$O$11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74-4B26-9CB3-DC27FDB7B0F2}"/>
            </c:ext>
          </c:extLst>
        </c:ser>
        <c:ser>
          <c:idx val="2"/>
          <c:order val="2"/>
          <c:tx>
            <c:v>Sagging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'Normal Stress'!$L$10:$M$10</c:f>
              <c:numCache>
                <c:formatCode>General</c:formatCode>
                <c:ptCount val="2"/>
                <c:pt idx="0">
                  <c:v>79.134262434570289</c:v>
                </c:pt>
                <c:pt idx="1">
                  <c:v>-46.965653067150363</c:v>
                </c:pt>
              </c:numCache>
            </c:numRef>
          </c:xVal>
          <c:yVal>
            <c:numRef>
              <c:f>'Normal Stress'!$L$11:$M$11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03B-49ED-9DEF-169A6ABE00A3}"/>
            </c:ext>
          </c:extLst>
        </c:ser>
        <c:ser>
          <c:idx val="3"/>
          <c:order val="3"/>
          <c:tx>
            <c:v>Hogging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'Normal Stress'!$N$10:$O$10</c:f>
              <c:numCache>
                <c:formatCode>General</c:formatCode>
                <c:ptCount val="2"/>
                <c:pt idx="0">
                  <c:v>-81.607781690168366</c:v>
                </c:pt>
                <c:pt idx="1">
                  <c:v>48.433670126251506</c:v>
                </c:pt>
              </c:numCache>
            </c:numRef>
          </c:xVal>
          <c:yVal>
            <c:numRef>
              <c:f>'Normal Stress'!$N$11:$O$11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3B-49ED-9DEF-169A6ABE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68976"/>
        <c:axId val="575849215"/>
      </c:scatterChart>
      <c:valAx>
        <c:axId val="40276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5849215"/>
        <c:crosses val="autoZero"/>
        <c:crossBetween val="midCat"/>
      </c:valAx>
      <c:valAx>
        <c:axId val="57584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276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Normal Tension </a:t>
            </a:r>
            <a:r>
              <a:rPr lang="pt-PT" baseline="0"/>
              <a:t>(Ballast)</a:t>
            </a:r>
            <a:endParaRPr lang="pt-PT"/>
          </a:p>
        </c:rich>
      </c:tx>
      <c:layout>
        <c:manualLayout>
          <c:xMode val="edge"/>
          <c:yMode val="edge"/>
          <c:x val="0.34920240017992227"/>
          <c:y val="2.30583967514894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3.2256376316607327E-2"/>
          <c:y val="0.13766861452624529"/>
          <c:w val="0.92036670267928833"/>
          <c:h val="0.677718440567069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'Normal Stress'!$L$23</c:f>
              <c:strCache>
                <c:ptCount val="1"/>
                <c:pt idx="0">
                  <c:v>Allowed Tension [Mpa]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-138</c:v>
              </c:pt>
              <c:pt idx="1">
                <c:v>-138</c:v>
              </c:pt>
            </c:numLit>
          </c:xVal>
          <c:yVal>
            <c:numRef>
              <c:f>'Normal Stress'!$N$19:$O$19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E-4E24-BBD9-373BB096D923}"/>
            </c:ext>
          </c:extLst>
        </c:ser>
        <c:ser>
          <c:idx val="1"/>
          <c:order val="1"/>
          <c:tx>
            <c:strRef>
              <c:f>'Normal Stress'!$L$22</c:f>
              <c:strCache>
                <c:ptCount val="1"/>
                <c:pt idx="0">
                  <c:v>Yield Strenght [Mpa]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2"/>
              <c:pt idx="0">
                <c:v>138</c:v>
              </c:pt>
              <c:pt idx="1">
                <c:v>138</c:v>
              </c:pt>
            </c:numLit>
          </c:xVal>
          <c:yVal>
            <c:numRef>
              <c:f>'Normal Stress'!$L$19:$M$19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8E-4E24-BBD9-373BB096D923}"/>
            </c:ext>
          </c:extLst>
        </c:ser>
        <c:ser>
          <c:idx val="2"/>
          <c:order val="2"/>
          <c:tx>
            <c:v>Sagging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'Normal Stress'!$L$18:$M$18</c:f>
              <c:numCache>
                <c:formatCode>General</c:formatCode>
                <c:ptCount val="2"/>
                <c:pt idx="0">
                  <c:v>98.722419914789597</c:v>
                </c:pt>
                <c:pt idx="1">
                  <c:v>-58.591092922628086</c:v>
                </c:pt>
              </c:numCache>
            </c:numRef>
          </c:xVal>
          <c:yVal>
            <c:numRef>
              <c:f>'Normal Stress'!$L$19:$M$19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987-473A-A139-085425CFE849}"/>
            </c:ext>
          </c:extLst>
        </c:ser>
        <c:ser>
          <c:idx val="3"/>
          <c:order val="3"/>
          <c:tx>
            <c:v>Hogging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'Normal Stress'!$N$18:$O$18</c:f>
              <c:numCache>
                <c:formatCode>General</c:formatCode>
                <c:ptCount val="2"/>
                <c:pt idx="0">
                  <c:v>-56.447632749730225</c:v>
                </c:pt>
                <c:pt idx="1">
                  <c:v>33.501290776264256</c:v>
                </c:pt>
              </c:numCache>
            </c:numRef>
          </c:xVal>
          <c:yVal>
            <c:numRef>
              <c:f>'Normal Stress'!$N$19:$O$19</c:f>
              <c:numCache>
                <c:formatCode>General</c:formatCode>
                <c:ptCount val="2"/>
                <c:pt idx="0">
                  <c:v>13.7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987-473A-A139-085425CF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768016"/>
        <c:axId val="1125618367"/>
      </c:scatterChart>
      <c:valAx>
        <c:axId val="40276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5618367"/>
        <c:crosses val="autoZero"/>
        <c:crossBetween val="midCat"/>
      </c:valAx>
      <c:valAx>
        <c:axId val="11256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276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Deslocamento Vertical  (Carga)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Hogging Deslocamento [mm]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2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</c:numLit>
          </c:xVal>
          <c:yVal>
            <c:numLit>
              <c:formatCode>General</c:formatCode>
              <c:ptCount val="21"/>
              <c:pt idx="0">
                <c:v>0</c:v>
              </c:pt>
              <c:pt idx="1">
                <c:v>35.119938126250787</c:v>
              </c:pt>
              <c:pt idx="2">
                <c:v>70.182966354467112</c:v>
              </c:pt>
              <c:pt idx="3">
                <c:v>104.94113512027167</c:v>
              </c:pt>
              <c:pt idx="4">
                <c:v>138.67657419485161</c:v>
              </c:pt>
              <c:pt idx="5">
                <c:v>170.09453104802111</c:v>
              </c:pt>
              <c:pt idx="6">
                <c:v>197.35247280827693</c:v>
              </c:pt>
              <c:pt idx="7">
                <c:v>218.83165118231389</c:v>
              </c:pt>
              <c:pt idx="8">
                <c:v>234.02739220407014</c:v>
              </c:pt>
              <c:pt idx="9">
                <c:v>243.04214299240888</c:v>
              </c:pt>
              <c:pt idx="10">
                <c:v>245.94336891834607</c:v>
              </c:pt>
              <c:pt idx="11">
                <c:v>242.75841304545901</c:v>
              </c:pt>
              <c:pt idx="12">
                <c:v>233.47942728647442</c:v>
              </c:pt>
              <c:pt idx="13">
                <c:v>218.06950647181694</c:v>
              </c:pt>
              <c:pt idx="14">
                <c:v>196.46469479848312</c:v>
              </c:pt>
              <c:pt idx="15">
                <c:v>169.19493280113096</c:v>
              </c:pt>
              <c:pt idx="16">
                <c:v>137.87180402140697</c:v>
              </c:pt>
              <c:pt idx="17">
                <c:v>104.30475619434037</c:v>
              </c:pt>
              <c:pt idx="18">
                <c:v>69.750815636787735</c:v>
              </c:pt>
              <c:pt idx="19">
                <c:v>34.902928520398753</c:v>
              </c:pt>
              <c:pt idx="2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0B5-48F1-A5E5-B55F876749AD}"/>
            </c:ext>
          </c:extLst>
        </c:ser>
        <c:ser>
          <c:idx val="1"/>
          <c:order val="1"/>
          <c:tx>
            <c:v>Sagging Deslocamento [mm]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2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</c:numLit>
          </c:xVal>
          <c:yVal>
            <c:numLit>
              <c:formatCode>General</c:formatCode>
              <c:ptCount val="21"/>
              <c:pt idx="0">
                <c:v>0</c:v>
              </c:pt>
              <c:pt idx="1">
                <c:v>-35.571829879940772</c:v>
              </c:pt>
              <c:pt idx="2">
                <c:v>-71.094227749892084</c:v>
              </c:pt>
              <c:pt idx="3">
                <c:v>-106.34792803203358</c:v>
              </c:pt>
              <c:pt idx="4">
                <c:v>-140.6836181839634</c:v>
              </c:pt>
              <c:pt idx="5">
                <c:v>-172.88520012974701</c:v>
              </c:pt>
              <c:pt idx="6">
                <c:v>-201.1461038599933</c:v>
              </c:pt>
              <c:pt idx="7">
                <c:v>-223.77912436994916</c:v>
              </c:pt>
              <c:pt idx="8">
                <c:v>-240.09209683675931</c:v>
              </c:pt>
              <c:pt idx="9">
                <c:v>-249.98257414156032</c:v>
              </c:pt>
              <c:pt idx="10">
                <c:v>-253.38309091333639</c:v>
              </c:pt>
              <c:pt idx="11">
                <c:v>-250.2663040885102</c:v>
              </c:pt>
              <c:pt idx="12">
                <c:v>-240.64006175435489</c:v>
              </c:pt>
              <c:pt idx="13">
                <c:v>-224.54126908044614</c:v>
              </c:pt>
              <c:pt idx="14">
                <c:v>-202.03388186978705</c:v>
              </c:pt>
              <c:pt idx="15">
                <c:v>-173.78479837663724</c:v>
              </c:pt>
              <c:pt idx="16">
                <c:v>-141.48838835740821</c:v>
              </c:pt>
              <c:pt idx="17">
                <c:v>-106.98430695796488</c:v>
              </c:pt>
              <c:pt idx="18">
                <c:v>-71.52637846757149</c:v>
              </c:pt>
              <c:pt idx="19">
                <c:v>-35.788839485792685</c:v>
              </c:pt>
              <c:pt idx="2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0B5-48F1-A5E5-B55F87674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94687"/>
        <c:axId val="404363200"/>
      </c:scatterChart>
      <c:valAx>
        <c:axId val="188589468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4363200"/>
        <c:crosses val="autoZero"/>
        <c:crossBetween val="midCat"/>
      </c:valAx>
      <c:valAx>
        <c:axId val="4043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8589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Vertical</a:t>
            </a:r>
            <a:r>
              <a:rPr lang="pt-PT" baseline="0"/>
              <a:t> Displacement Cargo</a:t>
            </a:r>
          </a:p>
        </c:rich>
      </c:tx>
      <c:layout>
        <c:manualLayout>
          <c:xMode val="edge"/>
          <c:yMode val="edge"/>
          <c:x val="0.29795830048899463"/>
          <c:y val="2.2306987473543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6797342001658965E-2"/>
          <c:y val="0.14068552554227295"/>
          <c:w val="0.90909804106280789"/>
          <c:h val="0.731990760770357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'Vertical Displacement (Cargo)'!$J$9</c:f>
              <c:strCache>
                <c:ptCount val="1"/>
                <c:pt idx="0">
                  <c:v>Sagging Deslocamento [mm]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'Vertical Displacement (Cargo)'!$A$11:$A$31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'Vertical Displacement (Cargo)'!$J$11:$J$31</c:f>
              <c:numCache>
                <c:formatCode>General</c:formatCode>
                <c:ptCount val="21"/>
                <c:pt idx="0">
                  <c:v>0</c:v>
                </c:pt>
                <c:pt idx="1">
                  <c:v>-21.929764359240547</c:v>
                </c:pt>
                <c:pt idx="2">
                  <c:v>-43.842777790025877</c:v>
                </c:pt>
                <c:pt idx="3">
                  <c:v>-65.650015934181781</c:v>
                </c:pt>
                <c:pt idx="4">
                  <c:v>-87.092755038464944</c:v>
                </c:pt>
                <c:pt idx="5">
                  <c:v>-107.67802345071533</c:v>
                </c:pt>
                <c:pt idx="6">
                  <c:v>-126.60091559220271</c:v>
                </c:pt>
                <c:pt idx="7">
                  <c:v>-142.86531574376835</c:v>
                </c:pt>
                <c:pt idx="8">
                  <c:v>-155.57803150441202</c:v>
                </c:pt>
                <c:pt idx="9">
                  <c:v>-163.99043424892216</c:v>
                </c:pt>
                <c:pt idx="10">
                  <c:v>-167.49900603872584</c:v>
                </c:pt>
                <c:pt idx="11">
                  <c:v>-165.76227623508467</c:v>
                </c:pt>
                <c:pt idx="12">
                  <c:v>-158.76927304616109</c:v>
                </c:pt>
                <c:pt idx="13">
                  <c:v>-146.86792325109667</c:v>
                </c:pt>
                <c:pt idx="14">
                  <c:v>-130.7354507813026</c:v>
                </c:pt>
                <c:pt idx="15">
                  <c:v>-111.39424040537408</c:v>
                </c:pt>
                <c:pt idx="16">
                  <c:v>-90.088501376556778</c:v>
                </c:pt>
                <c:pt idx="17">
                  <c:v>-67.854716586372646</c:v>
                </c:pt>
                <c:pt idx="18">
                  <c:v>-45.289977131534478</c:v>
                </c:pt>
                <c:pt idx="19">
                  <c:v>-22.649160423247306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70-4074-BE3E-AE0FD17704A0}"/>
            </c:ext>
          </c:extLst>
        </c:ser>
        <c:ser>
          <c:idx val="1"/>
          <c:order val="1"/>
          <c:tx>
            <c:strRef>
              <c:f>'Vertical Displacement (Cargo)'!$J$40</c:f>
              <c:strCache>
                <c:ptCount val="1"/>
                <c:pt idx="0">
                  <c:v>Hogging Deslocamento [mm]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'Vertical Displacement (Cargo)'!$A$42:$A$62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'Vertical Displacement (Cargo)'!$J$42:$J$62</c:f>
              <c:numCache>
                <c:formatCode>General</c:formatCode>
                <c:ptCount val="21"/>
                <c:pt idx="0">
                  <c:v>0</c:v>
                </c:pt>
                <c:pt idx="1">
                  <c:v>23.922857224251519</c:v>
                </c:pt>
                <c:pt idx="2">
                  <c:v>47.831946151757855</c:v>
                </c:pt>
                <c:pt idx="3">
                  <c:v>71.650382847609038</c:v>
                </c:pt>
                <c:pt idx="4">
                  <c:v>95.09437540332793</c:v>
                </c:pt>
                <c:pt idx="5">
                  <c:v>117.48282545826204</c:v>
                </c:pt>
                <c:pt idx="6">
                  <c:v>137.64730500886591</c:v>
                </c:pt>
                <c:pt idx="7">
                  <c:v>154.23545641803318</c:v>
                </c:pt>
                <c:pt idx="8">
                  <c:v>166.19354344503378</c:v>
                </c:pt>
                <c:pt idx="9">
                  <c:v>172.88178558018063</c:v>
                </c:pt>
                <c:pt idx="10">
                  <c:v>174.01839202430486</c:v>
                </c:pt>
                <c:pt idx="11">
                  <c:v>169.69187631527117</c:v>
                </c:pt>
                <c:pt idx="12">
                  <c:v>160.33354204776614</c:v>
                </c:pt>
                <c:pt idx="13">
                  <c:v>146.63276281883819</c:v>
                </c:pt>
                <c:pt idx="14">
                  <c:v>129.42349343659646</c:v>
                </c:pt>
                <c:pt idx="15">
                  <c:v>109.68143238838375</c:v>
                </c:pt>
                <c:pt idx="16">
                  <c:v>88.453183756255072</c:v>
                </c:pt>
                <c:pt idx="17">
                  <c:v>66.548140519072831</c:v>
                </c:pt>
                <c:pt idx="18">
                  <c:v>44.405041579748634</c:v>
                </c:pt>
                <c:pt idx="19">
                  <c:v>22.206022215294695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70-4074-BE3E-AE0FD1770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94687"/>
        <c:axId val="404363200"/>
      </c:scatterChart>
      <c:valAx>
        <c:axId val="188589468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4363200"/>
        <c:crosses val="autoZero"/>
        <c:crossBetween val="midCat"/>
      </c:valAx>
      <c:valAx>
        <c:axId val="4043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8589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Deslocamento Vertical  (Carga)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Hogging Deslocamento [mm]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2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</c:numLit>
          </c:xVal>
          <c:yVal>
            <c:numLit>
              <c:formatCode>General</c:formatCode>
              <c:ptCount val="21"/>
              <c:pt idx="0">
                <c:v>0</c:v>
              </c:pt>
              <c:pt idx="1">
                <c:v>35.119938126250787</c:v>
              </c:pt>
              <c:pt idx="2">
                <c:v>70.182966354467112</c:v>
              </c:pt>
              <c:pt idx="3">
                <c:v>104.94113512027167</c:v>
              </c:pt>
              <c:pt idx="4">
                <c:v>138.67657419485161</c:v>
              </c:pt>
              <c:pt idx="5">
                <c:v>170.09453104802111</c:v>
              </c:pt>
              <c:pt idx="6">
                <c:v>197.35247280827693</c:v>
              </c:pt>
              <c:pt idx="7">
                <c:v>218.83165118231389</c:v>
              </c:pt>
              <c:pt idx="8">
                <c:v>234.02739220407014</c:v>
              </c:pt>
              <c:pt idx="9">
                <c:v>243.04214299240888</c:v>
              </c:pt>
              <c:pt idx="10">
                <c:v>245.94336891834607</c:v>
              </c:pt>
              <c:pt idx="11">
                <c:v>242.75841304545901</c:v>
              </c:pt>
              <c:pt idx="12">
                <c:v>233.47942728647442</c:v>
              </c:pt>
              <c:pt idx="13">
                <c:v>218.06950647181694</c:v>
              </c:pt>
              <c:pt idx="14">
                <c:v>196.46469479848312</c:v>
              </c:pt>
              <c:pt idx="15">
                <c:v>169.19493280113096</c:v>
              </c:pt>
              <c:pt idx="16">
                <c:v>137.87180402140697</c:v>
              </c:pt>
              <c:pt idx="17">
                <c:v>104.30475619434037</c:v>
              </c:pt>
              <c:pt idx="18">
                <c:v>69.750815636787735</c:v>
              </c:pt>
              <c:pt idx="19">
                <c:v>34.902928520398753</c:v>
              </c:pt>
              <c:pt idx="2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CCA-45A2-90A1-235B26B48B85}"/>
            </c:ext>
          </c:extLst>
        </c:ser>
        <c:ser>
          <c:idx val="1"/>
          <c:order val="1"/>
          <c:tx>
            <c:v>Sagging Deslocamento [mm]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Lit>
              <c:formatCode>General</c:formatCode>
              <c:ptCount val="21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</c:numLit>
          </c:xVal>
          <c:yVal>
            <c:numLit>
              <c:formatCode>General</c:formatCode>
              <c:ptCount val="21"/>
              <c:pt idx="0">
                <c:v>0</c:v>
              </c:pt>
              <c:pt idx="1">
                <c:v>-35.571829879940772</c:v>
              </c:pt>
              <c:pt idx="2">
                <c:v>-71.094227749892084</c:v>
              </c:pt>
              <c:pt idx="3">
                <c:v>-106.34792803203358</c:v>
              </c:pt>
              <c:pt idx="4">
                <c:v>-140.6836181839634</c:v>
              </c:pt>
              <c:pt idx="5">
                <c:v>-172.88520012974701</c:v>
              </c:pt>
              <c:pt idx="6">
                <c:v>-201.1461038599933</c:v>
              </c:pt>
              <c:pt idx="7">
                <c:v>-223.77912436994916</c:v>
              </c:pt>
              <c:pt idx="8">
                <c:v>-240.09209683675931</c:v>
              </c:pt>
              <c:pt idx="9">
                <c:v>-249.98257414156032</c:v>
              </c:pt>
              <c:pt idx="10">
                <c:v>-253.38309091333639</c:v>
              </c:pt>
              <c:pt idx="11">
                <c:v>-250.2663040885102</c:v>
              </c:pt>
              <c:pt idx="12">
                <c:v>-240.64006175435489</c:v>
              </c:pt>
              <c:pt idx="13">
                <c:v>-224.54126908044614</c:v>
              </c:pt>
              <c:pt idx="14">
                <c:v>-202.03388186978705</c:v>
              </c:pt>
              <c:pt idx="15">
                <c:v>-173.78479837663724</c:v>
              </c:pt>
              <c:pt idx="16">
                <c:v>-141.48838835740821</c:v>
              </c:pt>
              <c:pt idx="17">
                <c:v>-106.98430695796488</c:v>
              </c:pt>
              <c:pt idx="18">
                <c:v>-71.52637846757149</c:v>
              </c:pt>
              <c:pt idx="19">
                <c:v>-35.788839485792685</c:v>
              </c:pt>
              <c:pt idx="2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CCA-45A2-90A1-235B26B48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94687"/>
        <c:axId val="404363200"/>
      </c:scatterChart>
      <c:valAx>
        <c:axId val="188589468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4363200"/>
        <c:crosses val="autoZero"/>
        <c:crossBetween val="midCat"/>
      </c:valAx>
      <c:valAx>
        <c:axId val="4043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8589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Vertical Displacement Ballast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5.6797342001658965E-2"/>
          <c:y val="0.14068552554227295"/>
          <c:w val="0.90909804106280789"/>
          <c:h val="0.731990760770357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'Vertical Displacement (Ballast)'!$J$9</c:f>
              <c:strCache>
                <c:ptCount val="1"/>
                <c:pt idx="0">
                  <c:v>Sagging Deslocamento [mm]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'Vertical Displacement (Ballast)'!$A$11:$A$31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'Vertical Displacement (Ballast)'!$J$11:$J$31</c:f>
              <c:numCache>
                <c:formatCode>General</c:formatCode>
                <c:ptCount val="21"/>
                <c:pt idx="0">
                  <c:v>0</c:v>
                </c:pt>
                <c:pt idx="1">
                  <c:v>-29.289610188188327</c:v>
                </c:pt>
                <c:pt idx="2">
                  <c:v>-58.563328035256731</c:v>
                </c:pt>
                <c:pt idx="3">
                  <c:v>-87.729814555033215</c:v>
                </c:pt>
                <c:pt idx="4">
                  <c:v>-116.50223655989029</c:v>
                </c:pt>
                <c:pt idx="5">
                  <c:v>-144.26697533832419</c:v>
                </c:pt>
                <c:pt idx="6">
                  <c:v>-169.88074710385939</c:v>
                </c:pt>
                <c:pt idx="7">
                  <c:v>-191.75438001440281</c:v>
                </c:pt>
                <c:pt idx="8">
                  <c:v>-208.46796122862958</c:v>
                </c:pt>
                <c:pt idx="9">
                  <c:v>-219.16097044203741</c:v>
                </c:pt>
                <c:pt idx="10">
                  <c:v>-223.28053911917624</c:v>
                </c:pt>
                <c:pt idx="11">
                  <c:v>-220.35335043386033</c:v>
                </c:pt>
                <c:pt idx="12">
                  <c:v>-210.36115576567067</c:v>
                </c:pt>
                <c:pt idx="13">
                  <c:v>-194.04770143364917</c:v>
                </c:pt>
                <c:pt idx="14">
                  <c:v>-172.51818662615298</c:v>
                </c:pt>
                <c:pt idx="15">
                  <c:v>-146.98546046242848</c:v>
                </c:pt>
                <c:pt idx="16">
                  <c:v>-118.87917447588053</c:v>
                </c:pt>
                <c:pt idx="17">
                  <c:v>-89.527371124391806</c:v>
                </c:pt>
                <c:pt idx="18">
                  <c:v>-59.748960746831152</c:v>
                </c:pt>
                <c:pt idx="19">
                  <c:v>-29.879307026188172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E0-42CC-8781-1F7A1CE29093}"/>
            </c:ext>
          </c:extLst>
        </c:ser>
        <c:ser>
          <c:idx val="1"/>
          <c:order val="1"/>
          <c:tx>
            <c:strRef>
              <c:f>'Vertical Displacement (Ballast)'!$J$40</c:f>
              <c:strCache>
                <c:ptCount val="1"/>
                <c:pt idx="0">
                  <c:v>Hogging Deslocamento [mm]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'Vertical Displacement (Ballast)'!$A$42:$A$62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'Vertical Displacement (Ballast)'!$J$42:$J$62</c:f>
              <c:numCache>
                <c:formatCode>General</c:formatCode>
                <c:ptCount val="21"/>
                <c:pt idx="0">
                  <c:v>0</c:v>
                </c:pt>
                <c:pt idx="1">
                  <c:v>16.10767056742225</c:v>
                </c:pt>
                <c:pt idx="2">
                  <c:v>32.20519665701449</c:v>
                </c:pt>
                <c:pt idx="3">
                  <c:v>48.234254181811259</c:v>
                </c:pt>
                <c:pt idx="4">
                  <c:v>63.975404918667145</c:v>
                </c:pt>
                <c:pt idx="5">
                  <c:v>78.915021628888539</c:v>
                </c:pt>
                <c:pt idx="6">
                  <c:v>92.259435393848264</c:v>
                </c:pt>
                <c:pt idx="7">
                  <c:v>103.25388326381609</c:v>
                </c:pt>
                <c:pt idx="8">
                  <c:v>111.34265759525834</c:v>
                </c:pt>
                <c:pt idx="9">
                  <c:v>115.95812512669356</c:v>
                </c:pt>
                <c:pt idx="10">
                  <c:v>116.72919831651586</c:v>
                </c:pt>
                <c:pt idx="11">
                  <c:v>113.84205264017946</c:v>
                </c:pt>
                <c:pt idx="12">
                  <c:v>107.71127964357377</c:v>
                </c:pt>
                <c:pt idx="13">
                  <c:v>98.617378652932885</c:v>
                </c:pt>
                <c:pt idx="14">
                  <c:v>86.963902769071922</c:v>
                </c:pt>
                <c:pt idx="15">
                  <c:v>73.544369418350868</c:v>
                </c:pt>
                <c:pt idx="16">
                  <c:v>59.232950803684204</c:v>
                </c:pt>
                <c:pt idx="17">
                  <c:v>44.556205464193695</c:v>
                </c:pt>
                <c:pt idx="18">
                  <c:v>29.734312602999722</c:v>
                </c:pt>
                <c:pt idx="19">
                  <c:v>14.870285612395916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E0-42CC-8781-1F7A1CE29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94687"/>
        <c:axId val="404363200"/>
      </c:scatterChart>
      <c:valAx>
        <c:axId val="188589468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4363200"/>
        <c:crosses val="autoZero"/>
        <c:crossBetween val="midCat"/>
      </c:valAx>
      <c:valAx>
        <c:axId val="4043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85894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6.xml"/><Relationship Id="rId4" Type="http://schemas.openxmlformats.org/officeDocument/2006/relationships/image" Target="../media/image4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2.xml"/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10" Type="http://schemas.openxmlformats.org/officeDocument/2006/relationships/chart" Target="../charts/chart44.xml"/><Relationship Id="rId4" Type="http://schemas.openxmlformats.org/officeDocument/2006/relationships/chart" Target="../charts/chart38.xml"/><Relationship Id="rId9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8.xml"/><Relationship Id="rId1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0.xml"/><Relationship Id="rId1" Type="http://schemas.openxmlformats.org/officeDocument/2006/relationships/chart" Target="../charts/chart5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10824</xdr:colOff>
      <xdr:row>31</xdr:row>
      <xdr:rowOff>125340</xdr:rowOff>
    </xdr:from>
    <xdr:to>
      <xdr:col>9</xdr:col>
      <xdr:colOff>678656</xdr:colOff>
      <xdr:row>47</xdr:row>
      <xdr:rowOff>11906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4A3CF4D-138A-245E-2633-F09287F25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7576</xdr:colOff>
      <xdr:row>48</xdr:row>
      <xdr:rowOff>22731</xdr:rowOff>
    </xdr:from>
    <xdr:to>
      <xdr:col>10</xdr:col>
      <xdr:colOff>23812</xdr:colOff>
      <xdr:row>62</xdr:row>
      <xdr:rowOff>154781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628D3B2-E220-46DA-A8FF-6A869DFD9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266266</xdr:colOff>
      <xdr:row>54</xdr:row>
      <xdr:rowOff>46685</xdr:rowOff>
    </xdr:from>
    <xdr:to>
      <xdr:col>22</xdr:col>
      <xdr:colOff>86230</xdr:colOff>
      <xdr:row>74</xdr:row>
      <xdr:rowOff>120505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89E723D-8E04-0A95-F7F5-A45B9C8A6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225904</xdr:colOff>
      <xdr:row>0</xdr:row>
      <xdr:rowOff>161925</xdr:rowOff>
    </xdr:from>
    <xdr:to>
      <xdr:col>21</xdr:col>
      <xdr:colOff>578491</xdr:colOff>
      <xdr:row>25</xdr:row>
      <xdr:rowOff>42020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0A6096F-1536-F547-14EA-081CA629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2229" y="161925"/>
          <a:ext cx="5229387" cy="4642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399092</xdr:colOff>
      <xdr:row>26</xdr:row>
      <xdr:rowOff>158483</xdr:rowOff>
    </xdr:from>
    <xdr:to>
      <xdr:col>22</xdr:col>
      <xdr:colOff>872979</xdr:colOff>
      <xdr:row>70</xdr:row>
      <xdr:rowOff>66915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E2A22AF-5605-D67C-1B98-361E2C80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5949" y="4875626"/>
          <a:ext cx="7765501" cy="7891289"/>
        </a:xfrm>
        <a:prstGeom prst="rect">
          <a:avLst/>
        </a:prstGeom>
      </xdr:spPr>
    </xdr:pic>
    <xdr:clientData/>
  </xdr:twoCellAnchor>
  <xdr:twoCellAnchor editAs="oneCell">
    <xdr:from>
      <xdr:col>15</xdr:col>
      <xdr:colOff>138395</xdr:colOff>
      <xdr:row>14</xdr:row>
      <xdr:rowOff>23995</xdr:rowOff>
    </xdr:from>
    <xdr:to>
      <xdr:col>15</xdr:col>
      <xdr:colOff>138755</xdr:colOff>
      <xdr:row>14</xdr:row>
      <xdr:rowOff>24355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6AF85A3-2E39-B9DD-706D-B81B10518EF4}"/>
                </a:ext>
              </a:extLst>
            </xdr14:cNvPr>
            <xdr14:cNvContentPartPr/>
          </xdr14:nvContentPartPr>
          <xdr14:nvPr macro=""/>
          <xdr14:xfrm>
            <a:off x="10158480" y="2585520"/>
            <a:ext cx="360" cy="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6AF85A3-2E39-B9DD-706D-B81B10518EF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149480" y="2576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109595</xdr:colOff>
      <xdr:row>50</xdr:row>
      <xdr:rowOff>99892</xdr:rowOff>
    </xdr:from>
    <xdr:to>
      <xdr:col>15</xdr:col>
      <xdr:colOff>206795</xdr:colOff>
      <xdr:row>50</xdr:row>
      <xdr:rowOff>129772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77947F0-7B1C-AF99-88AC-3D7F061611C3}"/>
                </a:ext>
              </a:extLst>
            </xdr14:cNvPr>
            <xdr14:cNvContentPartPr/>
          </xdr14:nvContentPartPr>
          <xdr14:nvPr macro=""/>
          <xdr14:xfrm>
            <a:off x="10129680" y="9248197"/>
            <a:ext cx="97200" cy="298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77947F0-7B1C-AF99-88AC-3D7F061611C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120680" y="9239197"/>
              <a:ext cx="114840" cy="47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235855</xdr:colOff>
      <xdr:row>0</xdr:row>
      <xdr:rowOff>21232</xdr:rowOff>
    </xdr:from>
    <xdr:to>
      <xdr:col>21</xdr:col>
      <xdr:colOff>571499</xdr:colOff>
      <xdr:row>9</xdr:row>
      <xdr:rowOff>120491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3CD39F7-6183-B19B-E2DB-76C6FA67C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-1129" b="42230"/>
        <a:stretch/>
      </xdr:blipFill>
      <xdr:spPr>
        <a:xfrm>
          <a:off x="7529284" y="21232"/>
          <a:ext cx="5805715" cy="17321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112058</xdr:colOff>
      <xdr:row>45</xdr:row>
      <xdr:rowOff>36285</xdr:rowOff>
    </xdr:from>
    <xdr:to>
      <xdr:col>26</xdr:col>
      <xdr:colOff>54429</xdr:colOff>
      <xdr:row>62</xdr:row>
      <xdr:rowOff>137566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812C5-616E-4B6D-8453-E6EBA8A2E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417286</xdr:colOff>
      <xdr:row>26</xdr:row>
      <xdr:rowOff>117929</xdr:rowOff>
    </xdr:from>
    <xdr:to>
      <xdr:col>26</xdr:col>
      <xdr:colOff>127000</xdr:colOff>
      <xdr:row>44</xdr:row>
      <xdr:rowOff>37781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DD78D6-7D81-4C57-B4D1-CA8D40E76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47199</xdr:colOff>
      <xdr:row>74</xdr:row>
      <xdr:rowOff>172455</xdr:rowOff>
    </xdr:from>
    <xdr:to>
      <xdr:col>22</xdr:col>
      <xdr:colOff>52959</xdr:colOff>
      <xdr:row>75</xdr:row>
      <xdr:rowOff>9427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A5683F7B-699A-4917-9F1B-E761E1E9940F}"/>
                </a:ext>
              </a:extLst>
            </xdr14:cNvPr>
            <xdr14:cNvContentPartPr/>
          </xdr14:nvContentPartPr>
          <xdr14:nvPr macro=""/>
          <xdr14:xfrm>
            <a:off x="14636520" y="13515295"/>
            <a:ext cx="5760" cy="172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A5683F7B-699A-4917-9F1B-E761E1E9940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627880" y="13506295"/>
              <a:ext cx="2340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503463</xdr:colOff>
      <xdr:row>3</xdr:row>
      <xdr:rowOff>93436</xdr:rowOff>
    </xdr:from>
    <xdr:to>
      <xdr:col>24</xdr:col>
      <xdr:colOff>589643</xdr:colOff>
      <xdr:row>22</xdr:row>
      <xdr:rowOff>72571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AB41E-4A55-5E15-E247-B444E956A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321468</xdr:colOff>
      <xdr:row>17</xdr:row>
      <xdr:rowOff>47624</xdr:rowOff>
    </xdr:from>
    <xdr:to>
      <xdr:col>22</xdr:col>
      <xdr:colOff>5416</xdr:colOff>
      <xdr:row>37</xdr:row>
      <xdr:rowOff>80913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F48833A0-7B57-4024-8EB6-F02DC468B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583406</xdr:colOff>
      <xdr:row>58</xdr:row>
      <xdr:rowOff>130968</xdr:rowOff>
    </xdr:from>
    <xdr:to>
      <xdr:col>20</xdr:col>
      <xdr:colOff>437790</xdr:colOff>
      <xdr:row>78</xdr:row>
      <xdr:rowOff>179511</xdr:rowOff>
    </xdr:to>
    <xdr:graphicFrame macro="">
      <xdr:nvGraphicFramePr>
        <xdr:cNvPr id="3" name="Gráfico 5">
          <a:extLst>
            <a:ext uri="{FF2B5EF4-FFF2-40B4-BE49-F238E27FC236}">
              <a16:creationId xmlns:a16="http://schemas.microsoft.com/office/drawing/2014/main" id="{A80C9570-DDEB-40BD-AE6C-8D3A7BC61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411723</xdr:colOff>
      <xdr:row>81</xdr:row>
      <xdr:rowOff>35852</xdr:rowOff>
    </xdr:from>
    <xdr:to>
      <xdr:col>23</xdr:col>
      <xdr:colOff>497617</xdr:colOff>
      <xdr:row>100</xdr:row>
      <xdr:rowOff>108071</xdr:rowOff>
    </xdr:to>
    <xdr:graphicFrame macro="">
      <xdr:nvGraphicFramePr>
        <xdr:cNvPr id="4" name="Gráfico 7">
          <a:extLst>
            <a:ext uri="{FF2B5EF4-FFF2-40B4-BE49-F238E27FC236}">
              <a16:creationId xmlns:a16="http://schemas.microsoft.com/office/drawing/2014/main" id="{BB481305-FFEA-424D-ADFD-9AD3BA1D7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116</xdr:row>
      <xdr:rowOff>0</xdr:rowOff>
    </xdr:from>
    <xdr:to>
      <xdr:col>19</xdr:col>
      <xdr:colOff>343215</xdr:colOff>
      <xdr:row>136</xdr:row>
      <xdr:rowOff>149520</xdr:rowOff>
    </xdr:to>
    <xdr:graphicFrame macro="">
      <xdr:nvGraphicFramePr>
        <xdr:cNvPr id="5" name="Gráfico 12">
          <a:extLst>
            <a:ext uri="{FF2B5EF4-FFF2-40B4-BE49-F238E27FC236}">
              <a16:creationId xmlns:a16="http://schemas.microsoft.com/office/drawing/2014/main" id="{81517644-DEB2-40E4-A34E-14226D9DB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143</xdr:row>
      <xdr:rowOff>0</xdr:rowOff>
    </xdr:from>
    <xdr:to>
      <xdr:col>23</xdr:col>
      <xdr:colOff>16776</xdr:colOff>
      <xdr:row>168</xdr:row>
      <xdr:rowOff>185261</xdr:rowOff>
    </xdr:to>
    <xdr:graphicFrame macro="">
      <xdr:nvGraphicFramePr>
        <xdr:cNvPr id="6" name="Gráfico 16">
          <a:extLst>
            <a:ext uri="{FF2B5EF4-FFF2-40B4-BE49-F238E27FC236}">
              <a16:creationId xmlns:a16="http://schemas.microsoft.com/office/drawing/2014/main" id="{225FB542-6539-41C3-AD15-F8C32A58A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8</xdr:row>
      <xdr:rowOff>0</xdr:rowOff>
    </xdr:from>
    <xdr:to>
      <xdr:col>27</xdr:col>
      <xdr:colOff>237261</xdr:colOff>
      <xdr:row>27</xdr:row>
      <xdr:rowOff>10391</xdr:rowOff>
    </xdr:to>
    <xdr:graphicFrame macro="">
      <xdr:nvGraphicFramePr>
        <xdr:cNvPr id="2" name="Gráfico 10">
          <a:extLst>
            <a:ext uri="{FF2B5EF4-FFF2-40B4-BE49-F238E27FC236}">
              <a16:creationId xmlns:a16="http://schemas.microsoft.com/office/drawing/2014/main" id="{B3F5D8A5-A9DF-4626-BC58-AAEED846C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326737</xdr:colOff>
      <xdr:row>33</xdr:row>
      <xdr:rowOff>82262</xdr:rowOff>
    </xdr:from>
    <xdr:to>
      <xdr:col>28</xdr:col>
      <xdr:colOff>274204</xdr:colOff>
      <xdr:row>52</xdr:row>
      <xdr:rowOff>14143</xdr:rowOff>
    </xdr:to>
    <xdr:graphicFrame macro="">
      <xdr:nvGraphicFramePr>
        <xdr:cNvPr id="3" name="Gráfico 11">
          <a:extLst>
            <a:ext uri="{FF2B5EF4-FFF2-40B4-BE49-F238E27FC236}">
              <a16:creationId xmlns:a16="http://schemas.microsoft.com/office/drawing/2014/main" id="{CF5E0872-F59C-410D-9D5D-510A975C1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355436</xdr:colOff>
      <xdr:row>59</xdr:row>
      <xdr:rowOff>93107</xdr:rowOff>
    </xdr:from>
    <xdr:to>
      <xdr:col>29</xdr:col>
      <xdr:colOff>379683</xdr:colOff>
      <xdr:row>78</xdr:row>
      <xdr:rowOff>101189</xdr:rowOff>
    </xdr:to>
    <xdr:graphicFrame macro="">
      <xdr:nvGraphicFramePr>
        <xdr:cNvPr id="4" name="Gráfico 12">
          <a:extLst>
            <a:ext uri="{FF2B5EF4-FFF2-40B4-BE49-F238E27FC236}">
              <a16:creationId xmlns:a16="http://schemas.microsoft.com/office/drawing/2014/main" id="{9BE309B5-C686-4E2D-8047-05CBF63D7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238125</xdr:colOff>
      <xdr:row>96</xdr:row>
      <xdr:rowOff>142874</xdr:rowOff>
    </xdr:from>
    <xdr:to>
      <xdr:col>11</xdr:col>
      <xdr:colOff>255155</xdr:colOff>
      <xdr:row>109</xdr:row>
      <xdr:rowOff>84611</xdr:rowOff>
    </xdr:to>
    <xdr:graphicFrame macro="">
      <xdr:nvGraphicFramePr>
        <xdr:cNvPr id="5" name="Gráfico 14">
          <a:extLst>
            <a:ext uri="{FF2B5EF4-FFF2-40B4-BE49-F238E27FC236}">
              <a16:creationId xmlns:a16="http://schemas.microsoft.com/office/drawing/2014/main" id="{B212AA24-1E3D-4EB2-8BE3-B9B539031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327768</xdr:colOff>
      <xdr:row>126</xdr:row>
      <xdr:rowOff>23296</xdr:rowOff>
    </xdr:from>
    <xdr:to>
      <xdr:col>27</xdr:col>
      <xdr:colOff>298245</xdr:colOff>
      <xdr:row>144</xdr:row>
      <xdr:rowOff>107248</xdr:rowOff>
    </xdr:to>
    <xdr:graphicFrame macro="">
      <xdr:nvGraphicFramePr>
        <xdr:cNvPr id="6" name="Gráfico 15">
          <a:extLst>
            <a:ext uri="{FF2B5EF4-FFF2-40B4-BE49-F238E27FC236}">
              <a16:creationId xmlns:a16="http://schemas.microsoft.com/office/drawing/2014/main" id="{B6FD45CD-C578-4CB4-A85D-C20C2CBBE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158750</xdr:colOff>
      <xdr:row>129</xdr:row>
      <xdr:rowOff>79375</xdr:rowOff>
    </xdr:from>
    <xdr:to>
      <xdr:col>11</xdr:col>
      <xdr:colOff>336302</xdr:colOff>
      <xdr:row>143</xdr:row>
      <xdr:rowOff>44573</xdr:rowOff>
    </xdr:to>
    <xdr:graphicFrame macro="">
      <xdr:nvGraphicFramePr>
        <xdr:cNvPr id="7" name="Gráfico 16">
          <a:extLst>
            <a:ext uri="{FF2B5EF4-FFF2-40B4-BE49-F238E27FC236}">
              <a16:creationId xmlns:a16="http://schemas.microsoft.com/office/drawing/2014/main" id="{9E9DCB2E-6879-4F65-BA1E-4A672E77C7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235858</xdr:colOff>
      <xdr:row>156</xdr:row>
      <xdr:rowOff>2721</xdr:rowOff>
    </xdr:from>
    <xdr:to>
      <xdr:col>11</xdr:col>
      <xdr:colOff>312058</xdr:colOff>
      <xdr:row>173</xdr:row>
      <xdr:rowOff>146049</xdr:rowOff>
    </xdr:to>
    <xdr:graphicFrame macro="">
      <xdr:nvGraphicFramePr>
        <xdr:cNvPr id="8" name="Gráfico 17">
          <a:extLst>
            <a:ext uri="{FF2B5EF4-FFF2-40B4-BE49-F238E27FC236}">
              <a16:creationId xmlns:a16="http://schemas.microsoft.com/office/drawing/2014/main" id="{571B5A1F-2C89-4D97-AF36-22323E30A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156</xdr:row>
      <xdr:rowOff>19050</xdr:rowOff>
    </xdr:from>
    <xdr:to>
      <xdr:col>24</xdr:col>
      <xdr:colOff>304800</xdr:colOff>
      <xdr:row>173</xdr:row>
      <xdr:rowOff>171450</xdr:rowOff>
    </xdr:to>
    <xdr:graphicFrame macro="">
      <xdr:nvGraphicFramePr>
        <xdr:cNvPr id="9" name="Gráfico 18">
          <a:extLst>
            <a:ext uri="{FF2B5EF4-FFF2-40B4-BE49-F238E27FC236}">
              <a16:creationId xmlns:a16="http://schemas.microsoft.com/office/drawing/2014/main" id="{65535339-FCC2-4F71-ACF0-F4B5D64BF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164522</xdr:colOff>
      <xdr:row>98</xdr:row>
      <xdr:rowOff>16740</xdr:rowOff>
    </xdr:from>
    <xdr:to>
      <xdr:col>24</xdr:col>
      <xdr:colOff>487795</xdr:colOff>
      <xdr:row>114</xdr:row>
      <xdr:rowOff>129887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37390A5-FC58-D85B-FF6B-89722D6BB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491218</xdr:colOff>
      <xdr:row>19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D907CE-5530-4490-95EB-7A2D0B04E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27</xdr:row>
      <xdr:rowOff>180975</xdr:rowOff>
    </xdr:from>
    <xdr:to>
      <xdr:col>16</xdr:col>
      <xdr:colOff>14515</xdr:colOff>
      <xdr:row>44</xdr:row>
      <xdr:rowOff>168275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8340BF-9A64-4F38-8984-CA65620E9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370435</xdr:colOff>
      <xdr:row>33</xdr:row>
      <xdr:rowOff>45143</xdr:rowOff>
    </xdr:from>
    <xdr:to>
      <xdr:col>10</xdr:col>
      <xdr:colOff>555492</xdr:colOff>
      <xdr:row>48</xdr:row>
      <xdr:rowOff>12486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6C94D2-7FCA-45DE-9B8D-346E1A45D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23091</xdr:colOff>
      <xdr:row>34</xdr:row>
      <xdr:rowOff>103910</xdr:rowOff>
    </xdr:from>
    <xdr:to>
      <xdr:col>17</xdr:col>
      <xdr:colOff>322282</xdr:colOff>
      <xdr:row>47</xdr:row>
      <xdr:rowOff>22267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3D0174-C5A8-48B2-B4DD-51F12B7F3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290614</xdr:colOff>
      <xdr:row>34</xdr:row>
      <xdr:rowOff>18638</xdr:rowOff>
    </xdr:from>
    <xdr:to>
      <xdr:col>8</xdr:col>
      <xdr:colOff>597723</xdr:colOff>
      <xdr:row>48</xdr:row>
      <xdr:rowOff>182254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FA24A9-4A7D-4C69-9ED3-B05A26C98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536863</xdr:colOff>
      <xdr:row>33</xdr:row>
      <xdr:rowOff>181428</xdr:rowOff>
    </xdr:from>
    <xdr:to>
      <xdr:col>19</xdr:col>
      <xdr:colOff>292264</xdr:colOff>
      <xdr:row>49</xdr:row>
      <xdr:rowOff>65809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3B4517-E9D6-44C9-B4FB-BA43E8B53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290614</xdr:colOff>
      <xdr:row>34</xdr:row>
      <xdr:rowOff>18638</xdr:rowOff>
    </xdr:from>
    <xdr:to>
      <xdr:col>8</xdr:col>
      <xdr:colOff>597723</xdr:colOff>
      <xdr:row>48</xdr:row>
      <xdr:rowOff>182254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81A196-853D-4DB1-AF5E-B1A041F15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536863</xdr:colOff>
      <xdr:row>33</xdr:row>
      <xdr:rowOff>181428</xdr:rowOff>
    </xdr:from>
    <xdr:to>
      <xdr:col>19</xdr:col>
      <xdr:colOff>292264</xdr:colOff>
      <xdr:row>49</xdr:row>
      <xdr:rowOff>65809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694E48-7B64-43B0-AFF2-F29E79465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359229</xdr:colOff>
      <xdr:row>32</xdr:row>
      <xdr:rowOff>179614</xdr:rowOff>
    </xdr:from>
    <xdr:to>
      <xdr:col>10</xdr:col>
      <xdr:colOff>544286</xdr:colOff>
      <xdr:row>47</xdr:row>
      <xdr:rowOff>146957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4AC967-2CB0-4324-8512-8D734CE4B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600364</xdr:colOff>
      <xdr:row>33</xdr:row>
      <xdr:rowOff>115454</xdr:rowOff>
    </xdr:from>
    <xdr:to>
      <xdr:col>17</xdr:col>
      <xdr:colOff>954812</xdr:colOff>
      <xdr:row>47</xdr:row>
      <xdr:rowOff>25729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FC76D20F-1D11-465C-A439-7BC72666C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290614</xdr:colOff>
      <xdr:row>34</xdr:row>
      <xdr:rowOff>18638</xdr:rowOff>
    </xdr:from>
    <xdr:to>
      <xdr:col>8</xdr:col>
      <xdr:colOff>597723</xdr:colOff>
      <xdr:row>48</xdr:row>
      <xdr:rowOff>182254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C21198-713E-4E95-8124-399DD3016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536863</xdr:colOff>
      <xdr:row>33</xdr:row>
      <xdr:rowOff>181428</xdr:rowOff>
    </xdr:from>
    <xdr:to>
      <xdr:col>19</xdr:col>
      <xdr:colOff>292264</xdr:colOff>
      <xdr:row>49</xdr:row>
      <xdr:rowOff>65809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B19101-8884-416F-90F1-52AE66CBD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290614</xdr:colOff>
      <xdr:row>34</xdr:row>
      <xdr:rowOff>18638</xdr:rowOff>
    </xdr:from>
    <xdr:to>
      <xdr:col>8</xdr:col>
      <xdr:colOff>597723</xdr:colOff>
      <xdr:row>48</xdr:row>
      <xdr:rowOff>182254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473CF7-6414-49AA-8F26-F79974B30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536863</xdr:colOff>
      <xdr:row>33</xdr:row>
      <xdr:rowOff>181428</xdr:rowOff>
    </xdr:from>
    <xdr:to>
      <xdr:col>19</xdr:col>
      <xdr:colOff>292264</xdr:colOff>
      <xdr:row>49</xdr:row>
      <xdr:rowOff>65809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C9658-9816-4737-B909-39EC39EC8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33</xdr:row>
      <xdr:rowOff>87085</xdr:rowOff>
    </xdr:from>
    <xdr:to>
      <xdr:col>6</xdr:col>
      <xdr:colOff>250371</xdr:colOff>
      <xdr:row>44</xdr:row>
      <xdr:rowOff>174172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4FE770-CA3A-44AD-AEC4-7D938D69F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7771</xdr:colOff>
      <xdr:row>32</xdr:row>
      <xdr:rowOff>152400</xdr:rowOff>
    </xdr:from>
    <xdr:to>
      <xdr:col>13</xdr:col>
      <xdr:colOff>587829</xdr:colOff>
      <xdr:row>45</xdr:row>
      <xdr:rowOff>54429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1207C5-DDC8-4F1B-A982-1E68B5B97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45</xdr:row>
      <xdr:rowOff>141514</xdr:rowOff>
    </xdr:from>
    <xdr:to>
      <xdr:col>6</xdr:col>
      <xdr:colOff>174170</xdr:colOff>
      <xdr:row>56</xdr:row>
      <xdr:rowOff>174170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13D19E9-F320-49FA-816D-8A6B208E8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592603</xdr:colOff>
      <xdr:row>46</xdr:row>
      <xdr:rowOff>44209</xdr:rowOff>
    </xdr:from>
    <xdr:to>
      <xdr:col>14</xdr:col>
      <xdr:colOff>97971</xdr:colOff>
      <xdr:row>57</xdr:row>
      <xdr:rowOff>43543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ABAF71C-5DB6-472B-8A40-EFB5C7E02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85996</xdr:colOff>
      <xdr:row>58</xdr:row>
      <xdr:rowOff>158932</xdr:rowOff>
    </xdr:from>
    <xdr:to>
      <xdr:col>11</xdr:col>
      <xdr:colOff>468085</xdr:colOff>
      <xdr:row>74</xdr:row>
      <xdr:rowOff>141515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0E53395-8269-42D2-834B-C07219588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826792</xdr:colOff>
      <xdr:row>59</xdr:row>
      <xdr:rowOff>462</xdr:rowOff>
    </xdr:from>
    <xdr:to>
      <xdr:col>26</xdr:col>
      <xdr:colOff>337457</xdr:colOff>
      <xdr:row>73</xdr:row>
      <xdr:rowOff>32657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3EC5239-ED89-42D8-9003-46AED379A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22</xdr:col>
      <xdr:colOff>195942</xdr:colOff>
      <xdr:row>44</xdr:row>
      <xdr:rowOff>87087</xdr:rowOff>
    </xdr:to>
    <xdr:graphicFrame macro="">
      <xdr:nvGraphicFramePr>
        <xdr:cNvPr id="12" name="Gráfico 1">
          <a:extLst>
            <a:ext uri="{FF2B5EF4-FFF2-40B4-BE49-F238E27FC236}">
              <a16:creationId xmlns:a16="http://schemas.microsoft.com/office/drawing/2014/main" id="{5DE8F9FA-5E6D-4F12-BAD7-C380F6E22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33</xdr:row>
      <xdr:rowOff>0</xdr:rowOff>
    </xdr:from>
    <xdr:to>
      <xdr:col>30</xdr:col>
      <xdr:colOff>580059</xdr:colOff>
      <xdr:row>45</xdr:row>
      <xdr:rowOff>88793</xdr:rowOff>
    </xdr:to>
    <xdr:graphicFrame macro="">
      <xdr:nvGraphicFramePr>
        <xdr:cNvPr id="13" name="Gráfico 2">
          <a:extLst>
            <a:ext uri="{FF2B5EF4-FFF2-40B4-BE49-F238E27FC236}">
              <a16:creationId xmlns:a16="http://schemas.microsoft.com/office/drawing/2014/main" id="{932A8E87-547F-464A-8FDD-F8E830A24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47</xdr:row>
      <xdr:rowOff>0</xdr:rowOff>
    </xdr:from>
    <xdr:to>
      <xdr:col>22</xdr:col>
      <xdr:colOff>174170</xdr:colOff>
      <xdr:row>58</xdr:row>
      <xdr:rowOff>32656</xdr:rowOff>
    </xdr:to>
    <xdr:graphicFrame macro="">
      <xdr:nvGraphicFramePr>
        <xdr:cNvPr id="14" name="Gráfico 3">
          <a:extLst>
            <a:ext uri="{FF2B5EF4-FFF2-40B4-BE49-F238E27FC236}">
              <a16:creationId xmlns:a16="http://schemas.microsoft.com/office/drawing/2014/main" id="{C612518F-A115-4102-A78B-E7BEDA89A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47</xdr:row>
      <xdr:rowOff>0</xdr:rowOff>
    </xdr:from>
    <xdr:to>
      <xdr:col>31</xdr:col>
      <xdr:colOff>115467</xdr:colOff>
      <xdr:row>57</xdr:row>
      <xdr:rowOff>186099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C21066-92B1-4B60-BC94-5A07E4A38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318656</xdr:colOff>
      <xdr:row>31</xdr:row>
      <xdr:rowOff>55419</xdr:rowOff>
    </xdr:from>
    <xdr:to>
      <xdr:col>11</xdr:col>
      <xdr:colOff>595746</xdr:colOff>
      <xdr:row>47</xdr:row>
      <xdr:rowOff>13855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5DA09B-2349-4182-BBC0-AA6274D64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200891</xdr:colOff>
      <xdr:row>29</xdr:row>
      <xdr:rowOff>110838</xdr:rowOff>
    </xdr:from>
    <xdr:to>
      <xdr:col>25</xdr:col>
      <xdr:colOff>69273</xdr:colOff>
      <xdr:row>47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12947-0F77-4BE3-A85C-1EC941B7C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318656</xdr:colOff>
      <xdr:row>31</xdr:row>
      <xdr:rowOff>55419</xdr:rowOff>
    </xdr:from>
    <xdr:to>
      <xdr:col>11</xdr:col>
      <xdr:colOff>595746</xdr:colOff>
      <xdr:row>47</xdr:row>
      <xdr:rowOff>13855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5A7735-7C2D-480A-B0E9-B27D0F0BD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200891</xdr:colOff>
      <xdr:row>29</xdr:row>
      <xdr:rowOff>110838</xdr:rowOff>
    </xdr:from>
    <xdr:to>
      <xdr:col>25</xdr:col>
      <xdr:colOff>69273</xdr:colOff>
      <xdr:row>47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C773E0B-37DC-46F5-9635-691208532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261257</xdr:colOff>
      <xdr:row>31</xdr:row>
      <xdr:rowOff>81643</xdr:rowOff>
    </xdr:from>
    <xdr:to>
      <xdr:col>9</xdr:col>
      <xdr:colOff>413657</xdr:colOff>
      <xdr:row>46</xdr:row>
      <xdr:rowOff>21772</xdr:rowOff>
    </xdr:to>
    <xdr:graphicFrame macro="">
      <xdr:nvGraphicFramePr>
        <xdr:cNvPr id="2" name="Gráfico 15">
          <a:extLst>
            <a:ext uri="{FF2B5EF4-FFF2-40B4-BE49-F238E27FC236}">
              <a16:creationId xmlns:a16="http://schemas.microsoft.com/office/drawing/2014/main" id="{0BB896FE-CC9A-4E81-A09B-1BF1EF64D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293915</xdr:colOff>
      <xdr:row>31</xdr:row>
      <xdr:rowOff>103413</xdr:rowOff>
    </xdr:from>
    <xdr:to>
      <xdr:col>18</xdr:col>
      <xdr:colOff>217715</xdr:colOff>
      <xdr:row>46</xdr:row>
      <xdr:rowOff>87085</xdr:rowOff>
    </xdr:to>
    <xdr:graphicFrame macro="">
      <xdr:nvGraphicFramePr>
        <xdr:cNvPr id="3" name="Gráfico 16">
          <a:extLst>
            <a:ext uri="{FF2B5EF4-FFF2-40B4-BE49-F238E27FC236}">
              <a16:creationId xmlns:a16="http://schemas.microsoft.com/office/drawing/2014/main" id="{CDC7B40C-05C6-47A2-BE17-5C9CFB415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323850</xdr:colOff>
      <xdr:row>32</xdr:row>
      <xdr:rowOff>114300</xdr:rowOff>
    </xdr:from>
    <xdr:to>
      <xdr:col>29</xdr:col>
      <xdr:colOff>19050</xdr:colOff>
      <xdr:row>49</xdr:row>
      <xdr:rowOff>171449</xdr:rowOff>
    </xdr:to>
    <xdr:graphicFrame macro="">
      <xdr:nvGraphicFramePr>
        <xdr:cNvPr id="4" name="Gráfico 18">
          <a:extLst>
            <a:ext uri="{FF2B5EF4-FFF2-40B4-BE49-F238E27FC236}">
              <a16:creationId xmlns:a16="http://schemas.microsoft.com/office/drawing/2014/main" id="{78B1CB3B-A374-4E12-9562-F49247418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971550</xdr:colOff>
      <xdr:row>50</xdr:row>
      <xdr:rowOff>0</xdr:rowOff>
    </xdr:to>
    <xdr:graphicFrame macro="">
      <xdr:nvGraphicFramePr>
        <xdr:cNvPr id="6" name="Gráfico 20">
          <a:extLst>
            <a:ext uri="{FF2B5EF4-FFF2-40B4-BE49-F238E27FC236}">
              <a16:creationId xmlns:a16="http://schemas.microsoft.com/office/drawing/2014/main" id="{C10CB962-6566-4F0D-A690-BA414325C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285750</xdr:colOff>
      <xdr:row>50</xdr:row>
      <xdr:rowOff>81643</xdr:rowOff>
    </xdr:from>
    <xdr:to>
      <xdr:col>28</xdr:col>
      <xdr:colOff>947058</xdr:colOff>
      <xdr:row>67</xdr:row>
      <xdr:rowOff>138792</xdr:rowOff>
    </xdr:to>
    <xdr:graphicFrame macro="">
      <xdr:nvGraphicFramePr>
        <xdr:cNvPr id="8" name="Gráfico 18">
          <a:extLst>
            <a:ext uri="{FF2B5EF4-FFF2-40B4-BE49-F238E27FC236}">
              <a16:creationId xmlns:a16="http://schemas.microsoft.com/office/drawing/2014/main" id="{268A545D-9B62-40B1-A8AA-087CC3012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52</xdr:row>
      <xdr:rowOff>0</xdr:rowOff>
    </xdr:from>
    <xdr:to>
      <xdr:col>39</xdr:col>
      <xdr:colOff>0</xdr:colOff>
      <xdr:row>69</xdr:row>
      <xdr:rowOff>0</xdr:rowOff>
    </xdr:to>
    <xdr:graphicFrame macro="">
      <xdr:nvGraphicFramePr>
        <xdr:cNvPr id="9" name="Gráfico 20">
          <a:extLst>
            <a:ext uri="{FF2B5EF4-FFF2-40B4-BE49-F238E27FC236}">
              <a16:creationId xmlns:a16="http://schemas.microsoft.com/office/drawing/2014/main" id="{CBD560C0-6015-4268-BD79-660FB9399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229982</xdr:colOff>
      <xdr:row>27</xdr:row>
      <xdr:rowOff>94782</xdr:rowOff>
    </xdr:from>
    <xdr:to>
      <xdr:col>6</xdr:col>
      <xdr:colOff>215660</xdr:colOff>
      <xdr:row>46</xdr:row>
      <xdr:rowOff>7189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DC37CDD6-AD01-4976-A5BE-9518DA66A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217278</xdr:colOff>
      <xdr:row>27</xdr:row>
      <xdr:rowOff>143774</xdr:rowOff>
    </xdr:from>
    <xdr:to>
      <xdr:col>14</xdr:col>
      <xdr:colOff>181334</xdr:colOff>
      <xdr:row>45</xdr:row>
      <xdr:rowOff>189062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128717-5A66-4BD1-B21A-73FB5DBA6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64944</xdr:colOff>
      <xdr:row>7</xdr:row>
      <xdr:rowOff>178377</xdr:rowOff>
    </xdr:from>
    <xdr:to>
      <xdr:col>21</xdr:col>
      <xdr:colOff>484909</xdr:colOff>
      <xdr:row>26</xdr:row>
      <xdr:rowOff>147204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25E0D1-7458-46B4-8440-81D6DA5B5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64944</xdr:colOff>
      <xdr:row>7</xdr:row>
      <xdr:rowOff>178377</xdr:rowOff>
    </xdr:from>
    <xdr:to>
      <xdr:col>21</xdr:col>
      <xdr:colOff>484909</xdr:colOff>
      <xdr:row>26</xdr:row>
      <xdr:rowOff>147204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3F505BF2-A7AD-4FCD-B7E0-413D965C8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64944</xdr:colOff>
      <xdr:row>7</xdr:row>
      <xdr:rowOff>178377</xdr:rowOff>
    </xdr:from>
    <xdr:to>
      <xdr:col>21</xdr:col>
      <xdr:colOff>484909</xdr:colOff>
      <xdr:row>26</xdr:row>
      <xdr:rowOff>147204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735E7A-F116-4B0E-AB0A-841B19A6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64944</xdr:colOff>
      <xdr:row>7</xdr:row>
      <xdr:rowOff>178377</xdr:rowOff>
    </xdr:from>
    <xdr:to>
      <xdr:col>21</xdr:col>
      <xdr:colOff>484909</xdr:colOff>
      <xdr:row>26</xdr:row>
      <xdr:rowOff>147204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B0DF5585-491C-47FB-8841-23FB06911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507067</xdr:colOff>
      <xdr:row>59</xdr:row>
      <xdr:rowOff>27118</xdr:rowOff>
    </xdr:from>
    <xdr:to>
      <xdr:col>9</xdr:col>
      <xdr:colOff>342779</xdr:colOff>
      <xdr:row>88</xdr:row>
      <xdr:rowOff>167288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13506EE-3BFC-4629-A288-E3E5D858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067" y="11513147"/>
          <a:ext cx="5281771" cy="5664670"/>
        </a:xfrm>
        <a:prstGeom prst="rect">
          <a:avLst/>
        </a:prstGeom>
      </xdr:spPr>
    </xdr:pic>
    <xdr:clientData/>
  </xdr:twoCellAnchor>
  <xdr:oneCellAnchor>
    <xdr:from>
      <xdr:col>13</xdr:col>
      <xdr:colOff>435429</xdr:colOff>
      <xdr:row>21</xdr:row>
      <xdr:rowOff>65314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C6BE998-9440-43EB-AFBD-C64E55E2E72B}"/>
            </a:ext>
          </a:extLst>
        </xdr:cNvPr>
        <xdr:cNvSpPr txBox="1"/>
      </xdr:nvSpPr>
      <xdr:spPr>
        <a:xfrm>
          <a:off x="9026979" y="420868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13</xdr:col>
      <xdr:colOff>435429</xdr:colOff>
      <xdr:row>21</xdr:row>
      <xdr:rowOff>65314</xdr:rowOff>
    </xdr:from>
    <xdr:ext cx="184731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46072ED2-73B7-48F7-9B32-2BA47E5520D0}"/>
            </a:ext>
          </a:extLst>
        </xdr:cNvPr>
        <xdr:cNvSpPr txBox="1"/>
      </xdr:nvSpPr>
      <xdr:spPr>
        <a:xfrm>
          <a:off x="9122229" y="4078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  <xdr:twoCellAnchor editAs="oneCell">
    <xdr:from>
      <xdr:col>23</xdr:col>
      <xdr:colOff>161637</xdr:colOff>
      <xdr:row>26</xdr:row>
      <xdr:rowOff>23091</xdr:rowOff>
    </xdr:from>
    <xdr:to>
      <xdr:col>28</xdr:col>
      <xdr:colOff>462582</xdr:colOff>
      <xdr:row>48</xdr:row>
      <xdr:rowOff>15220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26C854-4998-348D-983F-225C4D07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7728" y="5056909"/>
          <a:ext cx="3626036" cy="41023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ria\Downloads\Proj_CEN_ist106140%20(1).xlsx" TargetMode="External"/><Relationship Id="rId1" Type="http://schemas.openxmlformats.org/officeDocument/2006/relationships/externalLinkPath" Target="/Users/adria/Downloads/Proj_CEN_ist10614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cial Data"/>
      <sheetName val="Offset Hull"/>
      <sheetName val="MidShip"/>
      <sheetName val="Secção Longitudinal"/>
      <sheetName val="Curvas de Bojean"/>
      <sheetName val="LW"/>
      <sheetName val="Tanks"/>
      <sheetName val="Cargo Tanks "/>
      <sheetName val="DW"/>
      <sheetName val="DW+LW"/>
      <sheetName val="SW Buoyancy (Cargo)"/>
      <sheetName val="SW Buoyancy Sagging (Cargo)"/>
      <sheetName val="SW Buoyancy Hogging (Cargo)"/>
      <sheetName val="SW Buoyancy (Ballast)"/>
      <sheetName val="Wave Buoyancy Sagging (Ballast)"/>
      <sheetName val="Wave Buoyancy Hogging (Ballast)"/>
      <sheetName val="SF and BM (Still Water)"/>
      <sheetName val="SF and BM (Sagging)"/>
      <sheetName val="SF and BM (Hogging)"/>
      <sheetName val="Classification Society"/>
      <sheetName val="Normal Stress"/>
      <sheetName val="Vertical Deflection"/>
      <sheetName val="Shear Stresses Distribu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>
        <row r="9">
          <cell r="L9">
            <v>-119</v>
          </cell>
        </row>
      </sheetData>
      <sheetData sheetId="21" refreshError="1"/>
      <sheetData sheetId="22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3T04:09:26.7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158 0 1296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3T04:42:35.1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82 0,'98'-16'0,"-29"-2"0,-11 1 0,-34 4 0,-4-5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1T21:09:32.0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2451 4187 1768,'-14'47'16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AF0801-1EFB-497A-89DB-E0D5B37AD063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tiF06LrrxDdU4t-86xu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9567-328B-4D2E-913F-E566EE856481}">
  <dimension ref="A1:L10"/>
  <sheetViews>
    <sheetView workbookViewId="0">
      <selection activeCell="I6" sqref="I6:J8"/>
    </sheetView>
  </sheetViews>
  <sheetFormatPr defaultRowHeight="14.5" x14ac:dyDescent="0.35"/>
  <cols>
    <col min="1" max="1" width="13.81640625" bestFit="1" customWidth="1"/>
    <col min="2" max="2" width="13.54296875" bestFit="1" customWidth="1"/>
  </cols>
  <sheetData>
    <row r="1" spans="1:12" x14ac:dyDescent="0.35">
      <c r="A1" s="338" t="s">
        <v>677</v>
      </c>
      <c r="B1" s="2" t="s">
        <v>672</v>
      </c>
      <c r="C1" s="2" t="s">
        <v>432</v>
      </c>
      <c r="D1" s="2" t="s">
        <v>48</v>
      </c>
      <c r="E1" s="2" t="s">
        <v>63</v>
      </c>
      <c r="F1" s="2" t="s">
        <v>62</v>
      </c>
      <c r="G1" s="2" t="s">
        <v>673</v>
      </c>
      <c r="H1" s="2" t="s">
        <v>674</v>
      </c>
      <c r="I1" s="2" t="s">
        <v>0</v>
      </c>
      <c r="J1" s="2" t="s">
        <v>1</v>
      </c>
      <c r="K1" s="2" t="s">
        <v>675</v>
      </c>
      <c r="L1" s="2" t="s">
        <v>676</v>
      </c>
    </row>
    <row r="2" spans="1:12" x14ac:dyDescent="0.35">
      <c r="A2" s="339"/>
      <c r="B2" s="2">
        <v>30</v>
      </c>
      <c r="C2" s="2">
        <v>187</v>
      </c>
      <c r="D2" s="2">
        <v>26.1</v>
      </c>
      <c r="E2" s="2">
        <v>13.7</v>
      </c>
      <c r="F2" s="2">
        <v>9.9</v>
      </c>
      <c r="G2" s="2">
        <v>16.5</v>
      </c>
      <c r="H2" s="2">
        <v>8</v>
      </c>
      <c r="I2" s="2">
        <v>0.77</v>
      </c>
      <c r="J2" s="2">
        <v>2.9000000000000001E-2</v>
      </c>
      <c r="K2" s="2">
        <v>22</v>
      </c>
      <c r="L2" s="2">
        <v>30</v>
      </c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K4" s="3"/>
      <c r="L4" s="3"/>
    </row>
    <row r="6" spans="1:12" x14ac:dyDescent="0.35">
      <c r="A6" s="2" t="s">
        <v>8</v>
      </c>
      <c r="B6" s="2">
        <f xml:space="preserve"> C2*(1.81*I2-1.148)</f>
        <v>45.945900000000044</v>
      </c>
      <c r="C6" s="2" t="s">
        <v>9</v>
      </c>
      <c r="D6" s="2">
        <f>0.9803 - 0.6424 * I2 - 0.2368 * (I2^2)</f>
        <v>0.34525328</v>
      </c>
      <c r="F6" s="337" t="s">
        <v>15</v>
      </c>
      <c r="G6" s="337"/>
      <c r="I6" s="2" t="s">
        <v>16</v>
      </c>
      <c r="J6" s="2">
        <f>G10*J7</f>
        <v>0.73998906152030153</v>
      </c>
    </row>
    <row r="7" spans="1:12" x14ac:dyDescent="0.35">
      <c r="A7" s="2" t="s">
        <v>7</v>
      </c>
      <c r="B7" s="2">
        <f>C2*(D6-D7*(J2))</f>
        <v>68.686782951379996</v>
      </c>
      <c r="C7" s="2" t="s">
        <v>10</v>
      </c>
      <c r="D7" s="2">
        <f>0.0531-1.1172*I2+0.0786*(I2^2)</f>
        <v>-0.76054206000000002</v>
      </c>
      <c r="F7" s="2" t="s">
        <v>1</v>
      </c>
      <c r="G7" s="2" t="s">
        <v>14</v>
      </c>
      <c r="I7" s="2" t="s">
        <v>17</v>
      </c>
      <c r="J7" s="2">
        <f>(J8*C2-B6)/(B7*(G10)+B8)</f>
        <v>0.67106304234455127</v>
      </c>
    </row>
    <row r="8" spans="1:12" x14ac:dyDescent="0.35">
      <c r="A8" s="2" t="s">
        <v>11</v>
      </c>
      <c r="B8" s="2">
        <f>C2-B7-B6</f>
        <v>72.367317048619952</v>
      </c>
      <c r="C8" s="2" t="s">
        <v>12</v>
      </c>
      <c r="D8" s="2">
        <f>C2/20</f>
        <v>9.35</v>
      </c>
      <c r="F8" s="2">
        <v>3.5</v>
      </c>
      <c r="G8" s="2">
        <f>11.313*(I2^2)-16.826*(I2)+7.391</f>
        <v>1.1424576999999996</v>
      </c>
      <c r="I8" s="2" t="s">
        <v>13</v>
      </c>
      <c r="J8" s="2">
        <f>0.96*I2+0.038</f>
        <v>0.7772</v>
      </c>
    </row>
    <row r="9" spans="1:12" x14ac:dyDescent="0.35">
      <c r="F9" s="2">
        <v>2.5</v>
      </c>
      <c r="G9" s="2">
        <f>7.1515*(I2^2)-10.623*I2+5.0158</f>
        <v>1.0762143499999999</v>
      </c>
    </row>
    <row r="10" spans="1:12" x14ac:dyDescent="0.35">
      <c r="F10" s="2">
        <v>2.9</v>
      </c>
      <c r="G10" s="2">
        <f>_xlfn.FORECAST.LINEAR(F10,G8:G9,F8:F9)</f>
        <v>1.1027116899999998</v>
      </c>
    </row>
  </sheetData>
  <mergeCells count="2">
    <mergeCell ref="F6:G6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BB63-0B12-40CB-B54B-B3C5200919BF}">
  <dimension ref="A1:Y67"/>
  <sheetViews>
    <sheetView topLeftCell="A47" zoomScale="70" zoomScaleNormal="70" workbookViewId="0">
      <selection activeCell="AD54" sqref="AD54"/>
    </sheetView>
  </sheetViews>
  <sheetFormatPr defaultRowHeight="14.5" x14ac:dyDescent="0.35"/>
  <cols>
    <col min="12" max="12" width="8.7265625" customWidth="1"/>
    <col min="14" max="14" width="9" customWidth="1"/>
    <col min="15" max="15" width="10" bestFit="1" customWidth="1"/>
  </cols>
  <sheetData>
    <row r="1" spans="1:2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5" x14ac:dyDescent="0.35">
      <c r="A2" s="3"/>
      <c r="K2" s="3"/>
      <c r="L2" s="3"/>
    </row>
    <row r="3" spans="1:25" x14ac:dyDescent="0.35">
      <c r="O3" s="341" t="s">
        <v>53</v>
      </c>
      <c r="P3" s="341"/>
      <c r="Q3" s="341"/>
      <c r="R3" s="341"/>
      <c r="S3" s="341"/>
      <c r="T3" s="341"/>
      <c r="U3" s="341"/>
      <c r="V3" s="341"/>
      <c r="W3" s="341"/>
      <c r="X3" s="341"/>
      <c r="Y3" s="341"/>
    </row>
    <row r="4" spans="1:25" x14ac:dyDescent="0.35">
      <c r="B4" s="2" t="s">
        <v>17</v>
      </c>
      <c r="C4" s="2">
        <f>ROUND(Prelude!J7,2)</f>
        <v>0.67</v>
      </c>
      <c r="D4" s="2" t="s">
        <v>16</v>
      </c>
      <c r="E4" s="2">
        <f>ROUND(Prelude!J6,4)</f>
        <v>0.74</v>
      </c>
      <c r="L4" s="7" t="s">
        <v>55</v>
      </c>
      <c r="M4" s="1">
        <f>Prelude!F2</f>
        <v>9.9</v>
      </c>
      <c r="O4" s="6"/>
      <c r="P4" s="6" t="s">
        <v>6</v>
      </c>
      <c r="Q4" s="6">
        <v>0</v>
      </c>
      <c r="R4" s="6">
        <v>7.4999999999999997E-2</v>
      </c>
      <c r="S4" s="6">
        <v>0.25</v>
      </c>
      <c r="T4" s="6">
        <v>0.5</v>
      </c>
      <c r="U4" s="6">
        <v>0.75</v>
      </c>
      <c r="V4" s="6">
        <v>1</v>
      </c>
      <c r="W4" s="6">
        <v>1.25</v>
      </c>
      <c r="X4" s="6" t="s">
        <v>5</v>
      </c>
      <c r="Y4" s="6">
        <v>1.5</v>
      </c>
    </row>
    <row r="5" spans="1:25" x14ac:dyDescent="0.35">
      <c r="A5" s="4"/>
      <c r="L5" s="7" t="s">
        <v>48</v>
      </c>
      <c r="M5" s="5">
        <f>Prelude!D2</f>
        <v>26.1</v>
      </c>
      <c r="O5" s="6" t="s">
        <v>54</v>
      </c>
      <c r="P5" s="6" t="s">
        <v>37</v>
      </c>
      <c r="Q5" s="6">
        <f>Q4*$M$4</f>
        <v>0</v>
      </c>
      <c r="R5" s="6">
        <f t="shared" ref="R5:Y5" si="0">R4*$M$4</f>
        <v>0.74250000000000005</v>
      </c>
      <c r="S5" s="6">
        <f t="shared" si="0"/>
        <v>2.4750000000000001</v>
      </c>
      <c r="T5" s="6">
        <f t="shared" si="0"/>
        <v>4.95</v>
      </c>
      <c r="U5" s="6">
        <f t="shared" si="0"/>
        <v>7.4250000000000007</v>
      </c>
      <c r="V5" s="6">
        <f t="shared" si="0"/>
        <v>9.9</v>
      </c>
      <c r="W5" s="6">
        <f t="shared" si="0"/>
        <v>12.375</v>
      </c>
      <c r="X5" s="6">
        <v>13.7</v>
      </c>
      <c r="Y5" s="6">
        <f t="shared" si="0"/>
        <v>14.850000000000001</v>
      </c>
    </row>
    <row r="6" spans="1:25" x14ac:dyDescent="0.35">
      <c r="A6" s="3"/>
      <c r="B6" s="6" t="s">
        <v>678</v>
      </c>
      <c r="C6" s="6">
        <v>0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L6" s="7" t="s">
        <v>49</v>
      </c>
      <c r="M6" s="5">
        <f>M5/2</f>
        <v>13.05</v>
      </c>
      <c r="O6" s="12">
        <v>0</v>
      </c>
      <c r="P6" s="12" t="s">
        <v>38</v>
      </c>
      <c r="Q6" s="5">
        <f t="shared" ref="Q6:Q15" si="1">C7*$M$6</f>
        <v>0</v>
      </c>
      <c r="R6" s="5">
        <f t="shared" ref="R6:R15" si="2">D7*$M$6</f>
        <v>0</v>
      </c>
      <c r="S6" s="5">
        <f t="shared" ref="S6:S15" si="3">E7*$M$6</f>
        <v>0</v>
      </c>
      <c r="T6" s="5">
        <f t="shared" ref="T6:T15" si="4">F7*$M$6</f>
        <v>0</v>
      </c>
      <c r="U6" s="5">
        <f t="shared" ref="U6:U15" si="5">G7*$M$6</f>
        <v>0</v>
      </c>
      <c r="V6" s="5">
        <f t="shared" ref="V6:V15" si="6">H7*$M$6</f>
        <v>1.1092500000000001</v>
      </c>
      <c r="W6" s="5">
        <f t="shared" ref="W6:W15" si="7">I7*$M$6</f>
        <v>3.5235000000000003</v>
      </c>
      <c r="X6" s="5">
        <f>W6+($X$5-$W$5)*(Y6-W6)/($Y$5-$W$5)</f>
        <v>4.6063863636363624</v>
      </c>
      <c r="Y6" s="5">
        <f t="shared" ref="Y6:Y15" si="8">J7*$M$6</f>
        <v>5.5462500000000006</v>
      </c>
    </row>
    <row r="7" spans="1:25" x14ac:dyDescent="0.35">
      <c r="A7" s="3"/>
      <c r="B7" s="6" t="s">
        <v>38</v>
      </c>
      <c r="C7" s="202">
        <v>0</v>
      </c>
      <c r="D7" s="202">
        <v>0</v>
      </c>
      <c r="E7" s="202">
        <v>0</v>
      </c>
      <c r="F7" s="202">
        <v>0</v>
      </c>
      <c r="G7" s="202">
        <v>0</v>
      </c>
      <c r="H7" s="202">
        <v>8.5000000000000006E-2</v>
      </c>
      <c r="I7" s="202">
        <v>0.27</v>
      </c>
      <c r="J7" s="202">
        <v>0.42499999999999999</v>
      </c>
      <c r="L7" s="7" t="s">
        <v>50</v>
      </c>
      <c r="M7" s="5">
        <f>Prelude!B7</f>
        <v>68.686782951379996</v>
      </c>
      <c r="N7" s="1">
        <f>M7/9</f>
        <v>7.6318647723755548</v>
      </c>
      <c r="O7" s="12">
        <f>$N$8*1</f>
        <v>8.0408130054022173</v>
      </c>
      <c r="P7" s="12" t="s">
        <v>39</v>
      </c>
      <c r="Q7" s="5">
        <f t="shared" si="1"/>
        <v>0.26100000000000001</v>
      </c>
      <c r="R7" s="5">
        <f t="shared" si="2"/>
        <v>0.78300000000000003</v>
      </c>
      <c r="S7" s="5">
        <f t="shared" si="3"/>
        <v>1.044</v>
      </c>
      <c r="T7" s="5">
        <f t="shared" si="4"/>
        <v>1.1745000000000001</v>
      </c>
      <c r="U7" s="5">
        <f t="shared" si="5"/>
        <v>1.7617500000000001</v>
      </c>
      <c r="V7" s="5">
        <f t="shared" si="6"/>
        <v>4.3065000000000007</v>
      </c>
      <c r="W7" s="5">
        <f t="shared" si="7"/>
        <v>7.1122500000000013</v>
      </c>
      <c r="X7" s="5">
        <f t="shared" ref="X7:X25" si="9">W7+($X$5-$W$5)*(Y7-W7)/($Y$5-$W$5)</f>
        <v>8.1252727272727263</v>
      </c>
      <c r="Y7" s="5">
        <f t="shared" si="8"/>
        <v>9.0045000000000002</v>
      </c>
    </row>
    <row r="8" spans="1:25" x14ac:dyDescent="0.35">
      <c r="A8" s="3"/>
      <c r="B8" s="6" t="s">
        <v>39</v>
      </c>
      <c r="C8" s="202">
        <v>0.02</v>
      </c>
      <c r="D8" s="202">
        <v>0.06</v>
      </c>
      <c r="E8" s="202">
        <v>0.08</v>
      </c>
      <c r="F8" s="202">
        <v>0.09</v>
      </c>
      <c r="G8" s="202">
        <v>0.13500000000000001</v>
      </c>
      <c r="H8" s="202">
        <v>0.33</v>
      </c>
      <c r="I8" s="202">
        <v>0.54500000000000004</v>
      </c>
      <c r="J8" s="202">
        <v>0.69</v>
      </c>
      <c r="L8" s="7" t="s">
        <v>51</v>
      </c>
      <c r="M8" s="5">
        <f>Prelude!B8</f>
        <v>72.367317048619952</v>
      </c>
      <c r="N8" s="1">
        <f>M8/9</f>
        <v>8.0408130054022173</v>
      </c>
      <c r="O8" s="12">
        <f>$N$8*2</f>
        <v>16.081626010804435</v>
      </c>
      <c r="P8" s="12" t="s">
        <v>40</v>
      </c>
      <c r="Q8" s="5">
        <f t="shared" si="1"/>
        <v>0.84825000000000006</v>
      </c>
      <c r="R8" s="5">
        <f t="shared" si="2"/>
        <v>2.1532500000000003</v>
      </c>
      <c r="S8" s="5">
        <f t="shared" si="3"/>
        <v>2.8057500000000002</v>
      </c>
      <c r="T8" s="5">
        <f t="shared" si="4"/>
        <v>3.5235000000000003</v>
      </c>
      <c r="U8" s="5">
        <f t="shared" si="5"/>
        <v>4.7632500000000002</v>
      </c>
      <c r="V8" s="5">
        <f t="shared" si="6"/>
        <v>7.4384999999999994</v>
      </c>
      <c r="W8" s="5">
        <f t="shared" si="7"/>
        <v>9.5265000000000004</v>
      </c>
      <c r="X8" s="5">
        <f t="shared" si="9"/>
        <v>10.295</v>
      </c>
      <c r="Y8" s="5">
        <f t="shared" si="8"/>
        <v>10.962</v>
      </c>
    </row>
    <row r="9" spans="1:25" x14ac:dyDescent="0.35">
      <c r="B9" s="6" t="s">
        <v>40</v>
      </c>
      <c r="C9" s="202">
        <v>6.5000000000000002E-2</v>
      </c>
      <c r="D9" s="202">
        <v>0.16500000000000001</v>
      </c>
      <c r="E9" s="202">
        <v>0.215</v>
      </c>
      <c r="F9" s="202">
        <v>0.27</v>
      </c>
      <c r="G9" s="202">
        <v>0.36499999999999999</v>
      </c>
      <c r="H9" s="202">
        <v>0.56999999999999995</v>
      </c>
      <c r="I9" s="202">
        <v>0.73</v>
      </c>
      <c r="J9" s="202">
        <v>0.84</v>
      </c>
      <c r="L9" s="7" t="s">
        <v>52</v>
      </c>
      <c r="M9" s="5">
        <f>Prelude!B6</f>
        <v>45.945900000000044</v>
      </c>
      <c r="O9" s="12">
        <f>$N$8*3</f>
        <v>24.122439016206652</v>
      </c>
      <c r="P9" s="12" t="s">
        <v>41</v>
      </c>
      <c r="Q9" s="5">
        <f t="shared" si="1"/>
        <v>2.2185000000000001</v>
      </c>
      <c r="R9" s="5">
        <f t="shared" si="2"/>
        <v>3.915</v>
      </c>
      <c r="S9" s="5">
        <f t="shared" si="3"/>
        <v>4.8285</v>
      </c>
      <c r="T9" s="5">
        <f t="shared" si="4"/>
        <v>6.1334999999999997</v>
      </c>
      <c r="U9" s="5">
        <f t="shared" si="5"/>
        <v>7.7647500000000003</v>
      </c>
      <c r="V9" s="5">
        <f t="shared" si="6"/>
        <v>9.7875000000000014</v>
      </c>
      <c r="W9" s="5">
        <f t="shared" si="7"/>
        <v>11.223000000000001</v>
      </c>
      <c r="X9" s="5">
        <f t="shared" si="9"/>
        <v>11.712045454545455</v>
      </c>
      <c r="Y9" s="5">
        <f t="shared" si="8"/>
        <v>12.136500000000002</v>
      </c>
    </row>
    <row r="10" spans="1:25" x14ac:dyDescent="0.35">
      <c r="B10" s="6" t="s">
        <v>41</v>
      </c>
      <c r="C10" s="202">
        <v>0.17</v>
      </c>
      <c r="D10" s="202">
        <v>0.3</v>
      </c>
      <c r="E10" s="202">
        <v>0.37</v>
      </c>
      <c r="F10" s="202">
        <v>0.47</v>
      </c>
      <c r="G10" s="202">
        <v>0.59499999999999997</v>
      </c>
      <c r="H10" s="202">
        <v>0.75</v>
      </c>
      <c r="I10" s="202">
        <v>0.86</v>
      </c>
      <c r="J10" s="202">
        <v>0.93</v>
      </c>
      <c r="L10" s="7" t="s">
        <v>12</v>
      </c>
      <c r="M10" s="5">
        <f>Prelude!D8</f>
        <v>9.35</v>
      </c>
      <c r="O10" s="12">
        <f>$N$8*4</f>
        <v>32.163252021608869</v>
      </c>
      <c r="P10" s="12" t="s">
        <v>42</v>
      </c>
      <c r="Q10" s="5">
        <f t="shared" si="1"/>
        <v>4.1760000000000002</v>
      </c>
      <c r="R10" s="5">
        <f t="shared" si="2"/>
        <v>5.9377500000000003</v>
      </c>
      <c r="S10" s="5">
        <f t="shared" si="3"/>
        <v>7.0470000000000006</v>
      </c>
      <c r="T10" s="5">
        <f t="shared" si="4"/>
        <v>8.5477500000000006</v>
      </c>
      <c r="U10" s="5">
        <f t="shared" si="5"/>
        <v>10.113750000000001</v>
      </c>
      <c r="V10" s="5">
        <f t="shared" si="6"/>
        <v>11.3535</v>
      </c>
      <c r="W10" s="5">
        <f t="shared" si="7"/>
        <v>12.33225</v>
      </c>
      <c r="X10" s="5">
        <f t="shared" si="9"/>
        <v>12.611704545454545</v>
      </c>
      <c r="Y10" s="5">
        <f t="shared" si="8"/>
        <v>12.85425</v>
      </c>
    </row>
    <row r="11" spans="1:25" x14ac:dyDescent="0.35">
      <c r="B11" s="6" t="s">
        <v>42</v>
      </c>
      <c r="C11" s="202">
        <v>0.32</v>
      </c>
      <c r="D11" s="202">
        <v>0.45500000000000002</v>
      </c>
      <c r="E11" s="202">
        <v>0.54</v>
      </c>
      <c r="F11" s="202">
        <v>0.65500000000000003</v>
      </c>
      <c r="G11" s="202">
        <v>0.77500000000000002</v>
      </c>
      <c r="H11" s="202">
        <v>0.87</v>
      </c>
      <c r="I11" s="202">
        <v>0.94499999999999995</v>
      </c>
      <c r="J11" s="202">
        <v>0.98499999999999999</v>
      </c>
      <c r="O11" s="12">
        <f>$N$8*5</f>
        <v>40.204065027011083</v>
      </c>
      <c r="P11" s="12" t="s">
        <v>43</v>
      </c>
      <c r="Q11" s="5">
        <f t="shared" si="1"/>
        <v>6.3944999999999999</v>
      </c>
      <c r="R11" s="5">
        <f t="shared" si="2"/>
        <v>7.9605000000000006</v>
      </c>
      <c r="S11" s="5">
        <f t="shared" si="3"/>
        <v>9.1349999999999998</v>
      </c>
      <c r="T11" s="5">
        <f t="shared" si="4"/>
        <v>10.570500000000001</v>
      </c>
      <c r="U11" s="5">
        <f t="shared" si="5"/>
        <v>11.67975</v>
      </c>
      <c r="V11" s="5">
        <f t="shared" si="6"/>
        <v>12.397500000000001</v>
      </c>
      <c r="W11" s="5">
        <f t="shared" si="7"/>
        <v>12.789</v>
      </c>
      <c r="X11" s="5">
        <f t="shared" si="9"/>
        <v>12.893795454545455</v>
      </c>
      <c r="Y11" s="5">
        <f t="shared" si="8"/>
        <v>12.98475</v>
      </c>
    </row>
    <row r="12" spans="1:25" x14ac:dyDescent="0.35">
      <c r="B12" s="6" t="s">
        <v>43</v>
      </c>
      <c r="C12" s="202">
        <v>0.49</v>
      </c>
      <c r="D12" s="202">
        <v>0.61</v>
      </c>
      <c r="E12" s="202">
        <v>0.7</v>
      </c>
      <c r="F12" s="202">
        <v>0.81</v>
      </c>
      <c r="G12" s="202">
        <v>0.89500000000000002</v>
      </c>
      <c r="H12" s="202">
        <v>0.95</v>
      </c>
      <c r="I12" s="202">
        <v>0.98</v>
      </c>
      <c r="J12" s="202">
        <v>0.995</v>
      </c>
      <c r="O12" s="12">
        <f>$N$8*6</f>
        <v>48.244878032413304</v>
      </c>
      <c r="P12" s="12" t="s">
        <v>44</v>
      </c>
      <c r="Q12" s="5">
        <f t="shared" si="1"/>
        <v>8.4824999999999999</v>
      </c>
      <c r="R12" s="5">
        <f t="shared" si="2"/>
        <v>9.8527500000000003</v>
      </c>
      <c r="S12" s="5">
        <f t="shared" si="3"/>
        <v>10.8315</v>
      </c>
      <c r="T12" s="5">
        <f t="shared" si="4"/>
        <v>12.006000000000002</v>
      </c>
      <c r="U12" s="5">
        <f t="shared" si="5"/>
        <v>12.528</v>
      </c>
      <c r="V12" s="5">
        <f t="shared" si="6"/>
        <v>12.919500000000001</v>
      </c>
      <c r="W12" s="5">
        <f t="shared" si="7"/>
        <v>12.98475</v>
      </c>
      <c r="X12" s="5">
        <f t="shared" si="9"/>
        <v>13.019681818181818</v>
      </c>
      <c r="Y12" s="5">
        <f t="shared" si="8"/>
        <v>13.05</v>
      </c>
    </row>
    <row r="13" spans="1:25" x14ac:dyDescent="0.35">
      <c r="B13" s="6" t="s">
        <v>44</v>
      </c>
      <c r="C13" s="202">
        <v>0.65</v>
      </c>
      <c r="D13" s="202">
        <v>0.755</v>
      </c>
      <c r="E13" s="202">
        <v>0.83</v>
      </c>
      <c r="F13" s="202">
        <v>0.92</v>
      </c>
      <c r="G13" s="202">
        <v>0.96</v>
      </c>
      <c r="H13" s="202">
        <v>0.99</v>
      </c>
      <c r="I13" s="202">
        <v>0.995</v>
      </c>
      <c r="J13" s="202">
        <v>1</v>
      </c>
      <c r="O13" s="12">
        <f>$N$8*7</f>
        <v>56.285691037815525</v>
      </c>
      <c r="P13" s="12" t="s">
        <v>45</v>
      </c>
      <c r="Q13" s="5">
        <f t="shared" si="1"/>
        <v>10.440000000000001</v>
      </c>
      <c r="R13" s="5">
        <f t="shared" si="2"/>
        <v>11.3535</v>
      </c>
      <c r="S13" s="5">
        <f t="shared" si="3"/>
        <v>12.006000000000002</v>
      </c>
      <c r="T13" s="5">
        <f t="shared" si="4"/>
        <v>12.789</v>
      </c>
      <c r="U13" s="5">
        <f t="shared" si="5"/>
        <v>12.919500000000001</v>
      </c>
      <c r="V13" s="5">
        <f t="shared" si="6"/>
        <v>12.98475</v>
      </c>
      <c r="W13" s="5">
        <f t="shared" si="7"/>
        <v>13.05</v>
      </c>
      <c r="X13" s="5">
        <f t="shared" si="9"/>
        <v>13.05</v>
      </c>
      <c r="Y13" s="5">
        <f t="shared" si="8"/>
        <v>13.05</v>
      </c>
    </row>
    <row r="14" spans="1:25" x14ac:dyDescent="0.35">
      <c r="B14" s="6" t="s">
        <v>45</v>
      </c>
      <c r="C14" s="202">
        <v>0.8</v>
      </c>
      <c r="D14" s="202">
        <v>0.87</v>
      </c>
      <c r="E14" s="202">
        <v>0.92</v>
      </c>
      <c r="F14" s="202">
        <v>0.98</v>
      </c>
      <c r="G14" s="202">
        <v>0.99</v>
      </c>
      <c r="H14" s="202">
        <v>0.995</v>
      </c>
      <c r="I14" s="202">
        <v>1</v>
      </c>
      <c r="J14" s="202">
        <v>1</v>
      </c>
      <c r="O14" s="12">
        <f>$N$8*8</f>
        <v>64.326504043217739</v>
      </c>
      <c r="P14" s="12" t="s">
        <v>46</v>
      </c>
      <c r="Q14" s="5">
        <f t="shared" si="1"/>
        <v>11.940750000000001</v>
      </c>
      <c r="R14" s="5">
        <f t="shared" si="2"/>
        <v>12.397500000000001</v>
      </c>
      <c r="S14" s="5">
        <f t="shared" si="3"/>
        <v>12.723750000000001</v>
      </c>
      <c r="T14" s="5">
        <f t="shared" si="4"/>
        <v>12.98475</v>
      </c>
      <c r="U14" s="5">
        <f t="shared" si="5"/>
        <v>13.05</v>
      </c>
      <c r="V14" s="5">
        <f t="shared" si="6"/>
        <v>13.05</v>
      </c>
      <c r="W14" s="5">
        <f t="shared" si="7"/>
        <v>13.05</v>
      </c>
      <c r="X14" s="5">
        <f t="shared" si="9"/>
        <v>13.05</v>
      </c>
      <c r="Y14" s="5">
        <f t="shared" si="8"/>
        <v>13.05</v>
      </c>
    </row>
    <row r="15" spans="1:25" x14ac:dyDescent="0.35">
      <c r="B15" s="6" t="s">
        <v>46</v>
      </c>
      <c r="C15" s="202">
        <v>0.91500000000000004</v>
      </c>
      <c r="D15" s="202">
        <v>0.95</v>
      </c>
      <c r="E15" s="202">
        <v>0.97499999999999998</v>
      </c>
      <c r="F15" s="202">
        <v>0.995</v>
      </c>
      <c r="G15" s="202">
        <v>1</v>
      </c>
      <c r="H15" s="202">
        <v>1</v>
      </c>
      <c r="I15" s="202">
        <v>1</v>
      </c>
      <c r="J15" s="202">
        <v>1</v>
      </c>
      <c r="O15" s="12">
        <f>$N$8*9</f>
        <v>72.367317048619952</v>
      </c>
      <c r="P15" s="12" t="s">
        <v>47</v>
      </c>
      <c r="Q15" s="5">
        <f t="shared" si="1"/>
        <v>12.98475</v>
      </c>
      <c r="R15" s="5">
        <f t="shared" si="2"/>
        <v>12.98475</v>
      </c>
      <c r="S15" s="5">
        <f t="shared" si="3"/>
        <v>12.98475</v>
      </c>
      <c r="T15" s="5">
        <f t="shared" si="4"/>
        <v>13.05</v>
      </c>
      <c r="U15" s="5">
        <f t="shared" si="5"/>
        <v>13.05</v>
      </c>
      <c r="V15" s="5">
        <f t="shared" si="6"/>
        <v>13.05</v>
      </c>
      <c r="W15" s="5">
        <f t="shared" si="7"/>
        <v>13.05</v>
      </c>
      <c r="X15" s="5">
        <f t="shared" si="9"/>
        <v>13.05</v>
      </c>
      <c r="Y15" s="5">
        <f t="shared" si="8"/>
        <v>13.05</v>
      </c>
    </row>
    <row r="16" spans="1:25" x14ac:dyDescent="0.35">
      <c r="B16" s="6" t="s">
        <v>47</v>
      </c>
      <c r="C16" s="202">
        <v>0.995</v>
      </c>
      <c r="D16" s="202">
        <v>0.995</v>
      </c>
      <c r="E16" s="202">
        <v>0.995</v>
      </c>
      <c r="F16" s="202">
        <v>1</v>
      </c>
      <c r="G16" s="202">
        <v>1</v>
      </c>
      <c r="H16" s="202">
        <v>1</v>
      </c>
      <c r="I16" s="202">
        <v>1</v>
      </c>
      <c r="J16" s="202">
        <v>1</v>
      </c>
      <c r="O16" s="18">
        <f>O15+M9</f>
        <v>118.31321704862</v>
      </c>
      <c r="P16" s="18" t="s">
        <v>27</v>
      </c>
      <c r="Q16" s="19">
        <f t="shared" ref="Q16:Q25" si="10">C17*$M$6</f>
        <v>12.98475</v>
      </c>
      <c r="R16" s="19">
        <f t="shared" ref="R16:R25" si="11">D17*$M$6</f>
        <v>13.05</v>
      </c>
      <c r="S16" s="19">
        <f t="shared" ref="S16:S25" si="12">E17*$M$6</f>
        <v>13.05</v>
      </c>
      <c r="T16" s="19">
        <f t="shared" ref="T16:T25" si="13">F17*$M$6</f>
        <v>13.05</v>
      </c>
      <c r="U16" s="19">
        <f t="shared" ref="U16:U25" si="14">G17*$M$6</f>
        <v>13.05</v>
      </c>
      <c r="V16" s="19">
        <f t="shared" ref="V16:V25" si="15">H17*$M$6</f>
        <v>13.05</v>
      </c>
      <c r="W16" s="19">
        <f t="shared" ref="W16:W25" si="16">I17*$M$6</f>
        <v>13.05</v>
      </c>
      <c r="X16" s="19">
        <f t="shared" si="9"/>
        <v>13.05</v>
      </c>
      <c r="Y16" s="19">
        <f t="shared" ref="Y16:Y25" si="17">J17*$M$6</f>
        <v>13.05</v>
      </c>
    </row>
    <row r="17" spans="2:25" x14ac:dyDescent="0.35">
      <c r="B17" s="11" t="s">
        <v>27</v>
      </c>
      <c r="C17" s="202">
        <v>0.995</v>
      </c>
      <c r="D17" s="202">
        <v>1</v>
      </c>
      <c r="E17" s="202">
        <v>1</v>
      </c>
      <c r="F17" s="202">
        <v>1</v>
      </c>
      <c r="G17" s="202">
        <v>1</v>
      </c>
      <c r="H17" s="202">
        <v>1</v>
      </c>
      <c r="I17" s="202">
        <v>1</v>
      </c>
      <c r="J17" s="202">
        <v>1</v>
      </c>
      <c r="O17" s="18">
        <f>O16+$N$7</f>
        <v>125.94508182099555</v>
      </c>
      <c r="P17" s="18" t="s">
        <v>28</v>
      </c>
      <c r="Q17" s="19">
        <f t="shared" si="10"/>
        <v>12.6585</v>
      </c>
      <c r="R17" s="19">
        <f t="shared" si="11"/>
        <v>12.723750000000001</v>
      </c>
      <c r="S17" s="19">
        <f t="shared" si="12"/>
        <v>12.85425</v>
      </c>
      <c r="T17" s="19">
        <f t="shared" si="13"/>
        <v>12.98475</v>
      </c>
      <c r="U17" s="19">
        <f t="shared" si="14"/>
        <v>13.05</v>
      </c>
      <c r="V17" s="19">
        <f t="shared" si="15"/>
        <v>13.05</v>
      </c>
      <c r="W17" s="19">
        <f t="shared" si="16"/>
        <v>13.05</v>
      </c>
      <c r="X17" s="19">
        <f t="shared" si="9"/>
        <v>13.05</v>
      </c>
      <c r="Y17" s="19">
        <f t="shared" si="17"/>
        <v>13.05</v>
      </c>
    </row>
    <row r="18" spans="2:25" x14ac:dyDescent="0.35">
      <c r="B18" s="11" t="s">
        <v>28</v>
      </c>
      <c r="C18" s="202">
        <v>0.97</v>
      </c>
      <c r="D18" s="202">
        <v>0.97499999999999998</v>
      </c>
      <c r="E18" s="202">
        <v>0.98499999999999999</v>
      </c>
      <c r="F18" s="202">
        <v>0.995</v>
      </c>
      <c r="G18" s="202">
        <v>1</v>
      </c>
      <c r="H18" s="202">
        <v>1</v>
      </c>
      <c r="I18" s="202">
        <v>1</v>
      </c>
      <c r="J18" s="202">
        <v>1</v>
      </c>
      <c r="O18" s="18">
        <f t="shared" ref="O18:O25" si="18">O17+$N$7</f>
        <v>133.5769465933711</v>
      </c>
      <c r="P18" s="18" t="s">
        <v>29</v>
      </c>
      <c r="Q18" s="19">
        <f t="shared" si="10"/>
        <v>11.810250000000002</v>
      </c>
      <c r="R18" s="19">
        <f t="shared" si="11"/>
        <v>12.136500000000002</v>
      </c>
      <c r="S18" s="19">
        <f t="shared" si="12"/>
        <v>12.528</v>
      </c>
      <c r="T18" s="19">
        <f t="shared" si="13"/>
        <v>12.85425</v>
      </c>
      <c r="U18" s="19">
        <f t="shared" si="14"/>
        <v>12.919500000000001</v>
      </c>
      <c r="V18" s="19">
        <f t="shared" si="15"/>
        <v>12.919500000000001</v>
      </c>
      <c r="W18" s="19">
        <f t="shared" si="16"/>
        <v>12.98475</v>
      </c>
      <c r="X18" s="19">
        <f t="shared" si="9"/>
        <v>13.019681818181818</v>
      </c>
      <c r="Y18" s="19">
        <f t="shared" si="17"/>
        <v>13.05</v>
      </c>
    </row>
    <row r="19" spans="2:25" x14ac:dyDescent="0.35">
      <c r="B19" s="11" t="s">
        <v>29</v>
      </c>
      <c r="C19" s="202">
        <v>0.90500000000000003</v>
      </c>
      <c r="D19" s="202">
        <v>0.93</v>
      </c>
      <c r="E19" s="202">
        <v>0.96</v>
      </c>
      <c r="F19" s="202">
        <v>0.98499999999999999</v>
      </c>
      <c r="G19" s="202">
        <v>0.99</v>
      </c>
      <c r="H19" s="202">
        <v>0.99</v>
      </c>
      <c r="I19" s="202">
        <v>0.995</v>
      </c>
      <c r="J19" s="202">
        <v>1</v>
      </c>
      <c r="O19" s="18">
        <f t="shared" si="18"/>
        <v>141.20881136574667</v>
      </c>
      <c r="P19" s="18" t="s">
        <v>30</v>
      </c>
      <c r="Q19" s="19">
        <f t="shared" si="10"/>
        <v>10.374750000000001</v>
      </c>
      <c r="R19" s="19">
        <f t="shared" si="11"/>
        <v>11.28825</v>
      </c>
      <c r="S19" s="19">
        <f t="shared" si="12"/>
        <v>12.006000000000002</v>
      </c>
      <c r="T19" s="19">
        <f t="shared" si="13"/>
        <v>12.397500000000001</v>
      </c>
      <c r="U19" s="19">
        <f t="shared" si="14"/>
        <v>12.6585</v>
      </c>
      <c r="V19" s="19">
        <f t="shared" si="15"/>
        <v>12.789</v>
      </c>
      <c r="W19" s="19">
        <f t="shared" si="16"/>
        <v>12.789</v>
      </c>
      <c r="X19" s="19">
        <f t="shared" si="9"/>
        <v>12.858863636363637</v>
      </c>
      <c r="Y19" s="19">
        <f t="shared" si="17"/>
        <v>12.919500000000001</v>
      </c>
    </row>
    <row r="20" spans="2:25" x14ac:dyDescent="0.35">
      <c r="B20" s="11" t="s">
        <v>30</v>
      </c>
      <c r="C20" s="202">
        <v>0.79500000000000004</v>
      </c>
      <c r="D20" s="202">
        <v>0.86499999999999999</v>
      </c>
      <c r="E20" s="202">
        <v>0.92</v>
      </c>
      <c r="F20" s="202">
        <v>0.95</v>
      </c>
      <c r="G20" s="202">
        <v>0.97</v>
      </c>
      <c r="H20" s="202">
        <v>0.98</v>
      </c>
      <c r="I20" s="202">
        <v>0.98</v>
      </c>
      <c r="J20" s="202">
        <v>0.99</v>
      </c>
      <c r="O20" s="18">
        <f t="shared" si="18"/>
        <v>148.84067613812223</v>
      </c>
      <c r="P20" s="18" t="s">
        <v>31</v>
      </c>
      <c r="Q20" s="19">
        <f t="shared" si="10"/>
        <v>8.4824999999999999</v>
      </c>
      <c r="R20" s="19">
        <f t="shared" si="11"/>
        <v>9.918000000000001</v>
      </c>
      <c r="S20" s="19">
        <f t="shared" si="12"/>
        <v>10.962</v>
      </c>
      <c r="T20" s="19">
        <f t="shared" si="13"/>
        <v>11.67975</v>
      </c>
      <c r="U20" s="19">
        <f t="shared" si="14"/>
        <v>12.006000000000002</v>
      </c>
      <c r="V20" s="19">
        <f t="shared" si="15"/>
        <v>12.201750000000001</v>
      </c>
      <c r="W20" s="19">
        <f t="shared" si="16"/>
        <v>12.33225</v>
      </c>
      <c r="X20" s="19">
        <f t="shared" si="9"/>
        <v>12.437045454545455</v>
      </c>
      <c r="Y20" s="19">
        <f t="shared" si="17"/>
        <v>12.528</v>
      </c>
    </row>
    <row r="21" spans="2:25" x14ac:dyDescent="0.35">
      <c r="B21" s="11" t="s">
        <v>31</v>
      </c>
      <c r="C21" s="202">
        <v>0.65</v>
      </c>
      <c r="D21" s="202">
        <v>0.76</v>
      </c>
      <c r="E21" s="202">
        <v>0.84</v>
      </c>
      <c r="F21" s="202">
        <v>0.89500000000000002</v>
      </c>
      <c r="G21" s="202">
        <v>0.92</v>
      </c>
      <c r="H21" s="202">
        <v>0.93500000000000005</v>
      </c>
      <c r="I21" s="202">
        <v>0.94499999999999995</v>
      </c>
      <c r="J21" s="202">
        <v>0.96</v>
      </c>
      <c r="O21" s="18">
        <f t="shared" si="18"/>
        <v>156.4725409104978</v>
      </c>
      <c r="P21" s="18" t="s">
        <v>32</v>
      </c>
      <c r="Q21" s="19">
        <f t="shared" si="10"/>
        <v>6.1987500000000004</v>
      </c>
      <c r="R21" s="19">
        <f t="shared" si="11"/>
        <v>7.7647500000000003</v>
      </c>
      <c r="S21" s="19">
        <f t="shared" si="12"/>
        <v>9.5917500000000011</v>
      </c>
      <c r="T21" s="19">
        <f t="shared" si="13"/>
        <v>10.440000000000001</v>
      </c>
      <c r="U21" s="19">
        <f t="shared" si="14"/>
        <v>10.8315</v>
      </c>
      <c r="V21" s="19">
        <f t="shared" si="15"/>
        <v>11.15775</v>
      </c>
      <c r="W21" s="19">
        <f t="shared" si="16"/>
        <v>11.418750000000001</v>
      </c>
      <c r="X21" s="19">
        <f t="shared" si="9"/>
        <v>11.628340909090911</v>
      </c>
      <c r="Y21" s="19">
        <f t="shared" si="17"/>
        <v>11.810250000000002</v>
      </c>
    </row>
    <row r="22" spans="2:25" x14ac:dyDescent="0.35">
      <c r="B22" s="11" t="s">
        <v>32</v>
      </c>
      <c r="C22" s="202">
        <v>0.47499999999999998</v>
      </c>
      <c r="D22" s="202">
        <v>0.59499999999999997</v>
      </c>
      <c r="E22" s="202">
        <v>0.73499999999999999</v>
      </c>
      <c r="F22" s="202">
        <v>0.8</v>
      </c>
      <c r="G22" s="202">
        <v>0.83</v>
      </c>
      <c r="H22" s="202">
        <v>0.85499999999999998</v>
      </c>
      <c r="I22" s="202">
        <v>0.875</v>
      </c>
      <c r="J22" s="202">
        <v>0.90500000000000003</v>
      </c>
      <c r="O22" s="18">
        <f t="shared" si="18"/>
        <v>164.10440568287336</v>
      </c>
      <c r="P22" s="18" t="s">
        <v>33</v>
      </c>
      <c r="Q22" s="19">
        <f t="shared" si="10"/>
        <v>4.1760000000000002</v>
      </c>
      <c r="R22" s="19">
        <f t="shared" si="11"/>
        <v>6.6555000000000009</v>
      </c>
      <c r="S22" s="19">
        <f t="shared" si="12"/>
        <v>7.7647500000000003</v>
      </c>
      <c r="T22" s="19">
        <f t="shared" si="13"/>
        <v>8.6782500000000002</v>
      </c>
      <c r="U22" s="19">
        <f t="shared" si="14"/>
        <v>9.0697499999999991</v>
      </c>
      <c r="V22" s="19">
        <f t="shared" si="15"/>
        <v>9.3960000000000008</v>
      </c>
      <c r="W22" s="19">
        <f t="shared" si="16"/>
        <v>9.7222500000000007</v>
      </c>
      <c r="X22" s="19">
        <f t="shared" si="9"/>
        <v>10.036636363636365</v>
      </c>
      <c r="Y22" s="19">
        <f t="shared" si="17"/>
        <v>10.309500000000002</v>
      </c>
    </row>
    <row r="23" spans="2:25" x14ac:dyDescent="0.35">
      <c r="B23" s="11" t="s">
        <v>33</v>
      </c>
      <c r="C23" s="202">
        <v>0.32</v>
      </c>
      <c r="D23" s="202">
        <v>0.51</v>
      </c>
      <c r="E23" s="202">
        <v>0.59499999999999997</v>
      </c>
      <c r="F23" s="202">
        <v>0.66500000000000004</v>
      </c>
      <c r="G23" s="202">
        <v>0.69499999999999995</v>
      </c>
      <c r="H23" s="202">
        <v>0.72</v>
      </c>
      <c r="I23" s="202">
        <v>0.745</v>
      </c>
      <c r="J23" s="202">
        <v>0.79</v>
      </c>
      <c r="O23" s="18">
        <f t="shared" si="18"/>
        <v>171.73627045524893</v>
      </c>
      <c r="P23" s="18" t="s">
        <v>34</v>
      </c>
      <c r="Q23" s="19">
        <f t="shared" si="10"/>
        <v>2.2185000000000001</v>
      </c>
      <c r="R23" s="19">
        <f t="shared" si="11"/>
        <v>4.5022500000000001</v>
      </c>
      <c r="S23" s="19">
        <f t="shared" si="12"/>
        <v>5.6115000000000004</v>
      </c>
      <c r="T23" s="19">
        <f t="shared" si="13"/>
        <v>6.32925</v>
      </c>
      <c r="U23" s="19">
        <f t="shared" si="14"/>
        <v>6.5902500000000002</v>
      </c>
      <c r="V23" s="19">
        <f t="shared" si="15"/>
        <v>6.7860000000000005</v>
      </c>
      <c r="W23" s="19">
        <f t="shared" si="16"/>
        <v>7.1775000000000011</v>
      </c>
      <c r="X23" s="19">
        <f t="shared" si="9"/>
        <v>7.5966818181818185</v>
      </c>
      <c r="Y23" s="19">
        <f t="shared" si="17"/>
        <v>7.9605000000000006</v>
      </c>
    </row>
    <row r="24" spans="2:25" x14ac:dyDescent="0.35">
      <c r="B24" s="11" t="s">
        <v>34</v>
      </c>
      <c r="C24" s="202">
        <v>0.17</v>
      </c>
      <c r="D24" s="202">
        <v>0.34499999999999997</v>
      </c>
      <c r="E24" s="202">
        <v>0.43</v>
      </c>
      <c r="F24" s="202">
        <v>0.48499999999999999</v>
      </c>
      <c r="G24" s="202">
        <v>0.505</v>
      </c>
      <c r="H24" s="202">
        <v>0.52</v>
      </c>
      <c r="I24" s="202">
        <v>0.55000000000000004</v>
      </c>
      <c r="J24" s="202">
        <v>0.61</v>
      </c>
      <c r="O24" s="18">
        <f t="shared" si="18"/>
        <v>179.36813522762449</v>
      </c>
      <c r="P24" s="18" t="s">
        <v>35</v>
      </c>
      <c r="Q24" s="19">
        <f t="shared" si="10"/>
        <v>0.71775</v>
      </c>
      <c r="R24" s="19">
        <f t="shared" si="11"/>
        <v>2.2185000000000001</v>
      </c>
      <c r="S24" s="19">
        <f t="shared" si="12"/>
        <v>2.9362500000000002</v>
      </c>
      <c r="T24" s="19">
        <f t="shared" si="13"/>
        <v>3.2625000000000002</v>
      </c>
      <c r="U24" s="19">
        <f t="shared" si="14"/>
        <v>3.3930000000000002</v>
      </c>
      <c r="V24" s="19">
        <f t="shared" si="15"/>
        <v>3.5887500000000006</v>
      </c>
      <c r="W24" s="19">
        <f t="shared" si="16"/>
        <v>3.9802500000000003</v>
      </c>
      <c r="X24" s="19">
        <f t="shared" si="9"/>
        <v>4.3994318181818182</v>
      </c>
      <c r="Y24" s="19">
        <f t="shared" si="17"/>
        <v>4.7632500000000002</v>
      </c>
    </row>
    <row r="25" spans="2:25" x14ac:dyDescent="0.35">
      <c r="B25" s="11" t="s">
        <v>35</v>
      </c>
      <c r="C25" s="202">
        <v>5.5E-2</v>
      </c>
      <c r="D25" s="202">
        <v>0.17</v>
      </c>
      <c r="E25" s="202">
        <v>0.22500000000000001</v>
      </c>
      <c r="F25" s="202">
        <v>0.25</v>
      </c>
      <c r="G25" s="202">
        <v>0.26</v>
      </c>
      <c r="H25" s="202">
        <v>0.27500000000000002</v>
      </c>
      <c r="I25" s="202">
        <v>0.30499999999999999</v>
      </c>
      <c r="J25" s="202">
        <v>0.36499999999999999</v>
      </c>
      <c r="O25" s="18">
        <f t="shared" si="18"/>
        <v>187.00000000000006</v>
      </c>
      <c r="P25" s="18" t="s">
        <v>36</v>
      </c>
      <c r="Q25" s="19">
        <f t="shared" si="10"/>
        <v>0</v>
      </c>
      <c r="R25" s="19">
        <f t="shared" si="11"/>
        <v>0</v>
      </c>
      <c r="S25" s="19">
        <f t="shared" si="12"/>
        <v>0</v>
      </c>
      <c r="T25" s="19">
        <f t="shared" si="13"/>
        <v>0</v>
      </c>
      <c r="U25" s="19">
        <f t="shared" si="14"/>
        <v>0</v>
      </c>
      <c r="V25" s="19">
        <f t="shared" si="15"/>
        <v>0</v>
      </c>
      <c r="W25" s="19">
        <f t="shared" si="16"/>
        <v>0.45675000000000004</v>
      </c>
      <c r="X25" s="19">
        <f t="shared" si="9"/>
        <v>0.77113636363636329</v>
      </c>
      <c r="Y25" s="19">
        <f t="shared" si="17"/>
        <v>1.044</v>
      </c>
    </row>
    <row r="26" spans="2:25" x14ac:dyDescent="0.35">
      <c r="B26" s="11" t="s">
        <v>36</v>
      </c>
      <c r="C26" s="202">
        <v>0</v>
      </c>
      <c r="D26" s="202">
        <v>0</v>
      </c>
      <c r="E26" s="202">
        <v>0</v>
      </c>
      <c r="F26" s="202">
        <v>0</v>
      </c>
      <c r="G26" s="202">
        <v>0</v>
      </c>
      <c r="H26" s="202">
        <v>0</v>
      </c>
      <c r="I26" s="202">
        <v>3.5000000000000003E-2</v>
      </c>
      <c r="J26" s="202">
        <v>0.08</v>
      </c>
    </row>
    <row r="29" spans="2:25" x14ac:dyDescent="0.35">
      <c r="O29" s="342" t="s">
        <v>56</v>
      </c>
      <c r="P29" s="342"/>
      <c r="Q29" s="342"/>
      <c r="R29" s="342"/>
      <c r="S29" s="342"/>
      <c r="T29" s="342"/>
      <c r="U29" s="342"/>
      <c r="V29" s="342"/>
      <c r="W29" s="342"/>
      <c r="X29" s="342"/>
    </row>
    <row r="30" spans="2:25" x14ac:dyDescent="0.35"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2:25" x14ac:dyDescent="0.35">
      <c r="O31" s="8"/>
      <c r="P31" s="8"/>
      <c r="Q31" s="340" t="s">
        <v>57</v>
      </c>
      <c r="R31" s="340"/>
      <c r="S31" s="340"/>
      <c r="T31" s="340"/>
      <c r="U31" s="340"/>
      <c r="V31" s="340"/>
      <c r="W31" s="340"/>
      <c r="X31" s="340"/>
    </row>
    <row r="32" spans="2:25" x14ac:dyDescent="0.35">
      <c r="O32" s="13" t="s">
        <v>58</v>
      </c>
      <c r="P32" s="14" t="s">
        <v>59</v>
      </c>
      <c r="Q32" s="15">
        <f>Q5</f>
        <v>0</v>
      </c>
      <c r="R32" s="15">
        <f t="shared" ref="R32:X32" si="19">R5</f>
        <v>0.74250000000000005</v>
      </c>
      <c r="S32" s="15">
        <f t="shared" si="19"/>
        <v>2.4750000000000001</v>
      </c>
      <c r="T32" s="15">
        <f t="shared" si="19"/>
        <v>4.95</v>
      </c>
      <c r="U32" s="15">
        <f t="shared" si="19"/>
        <v>7.4250000000000007</v>
      </c>
      <c r="V32" s="15">
        <f t="shared" si="19"/>
        <v>9.9</v>
      </c>
      <c r="W32" s="15">
        <f t="shared" si="19"/>
        <v>12.375</v>
      </c>
      <c r="X32" s="15">
        <f t="shared" si="19"/>
        <v>13.7</v>
      </c>
    </row>
    <row r="33" spans="12:24" x14ac:dyDescent="0.35">
      <c r="L33" s="7" t="s">
        <v>524</v>
      </c>
      <c r="M33" s="5">
        <f>'Secção Mestra'!H7</f>
        <v>2.2335130503265481</v>
      </c>
      <c r="O33" s="16">
        <v>0</v>
      </c>
      <c r="P33" s="17">
        <v>0</v>
      </c>
      <c r="Q33" s="5">
        <f>Q6</f>
        <v>0</v>
      </c>
      <c r="R33" s="5">
        <f t="shared" ref="R33:W33" si="20">R6</f>
        <v>0</v>
      </c>
      <c r="S33" s="5">
        <f t="shared" si="20"/>
        <v>0</v>
      </c>
      <c r="T33" s="5">
        <f t="shared" si="20"/>
        <v>0</v>
      </c>
      <c r="U33" s="5">
        <f t="shared" si="20"/>
        <v>0</v>
      </c>
      <c r="V33" s="5">
        <f t="shared" si="20"/>
        <v>1.1092500000000001</v>
      </c>
      <c r="W33" s="5">
        <f t="shared" si="20"/>
        <v>3.5235000000000003</v>
      </c>
      <c r="X33" s="5">
        <f>X6</f>
        <v>4.6063863636363624</v>
      </c>
    </row>
    <row r="34" spans="12:24" ht="15" thickBot="1" x14ac:dyDescent="0.4">
      <c r="L34" s="7" t="s">
        <v>525</v>
      </c>
      <c r="M34" s="235">
        <f>-(SQRT(((M33)^(2))-((R32-M33)^(2))))+(M33)</f>
        <v>0.57054563340734576</v>
      </c>
      <c r="O34" s="16">
        <v>1</v>
      </c>
      <c r="P34" s="17">
        <f>M10</f>
        <v>9.35</v>
      </c>
      <c r="Q34" s="5">
        <f>Q7+((($P34-$O7)*(Q8-Q7))/($O8-$O7))</f>
        <v>0.3566147173253521</v>
      </c>
      <c r="R34" s="5">
        <f t="shared" ref="R34:X34" si="21">R7+((($P34-$O7)*(R8-R7))/($O8-$O7))</f>
        <v>1.0061010070924883</v>
      </c>
      <c r="S34" s="5">
        <f t="shared" si="21"/>
        <v>1.3308441519760563</v>
      </c>
      <c r="T34" s="5">
        <f t="shared" si="21"/>
        <v>1.5569588693014085</v>
      </c>
      <c r="U34" s="5">
        <f t="shared" si="21"/>
        <v>2.2504474441073552</v>
      </c>
      <c r="V34" s="5">
        <f t="shared" si="21"/>
        <v>4.8164451590685449</v>
      </c>
      <c r="W34" s="5">
        <f t="shared" si="21"/>
        <v>7.5053327267820045</v>
      </c>
      <c r="X34" s="5">
        <f t="shared" si="21"/>
        <v>8.4785428164254295</v>
      </c>
    </row>
    <row r="35" spans="12:24" x14ac:dyDescent="0.35">
      <c r="O35" s="16">
        <v>2</v>
      </c>
      <c r="P35" s="17">
        <f>P34+M10</f>
        <v>18.7</v>
      </c>
      <c r="Q35" s="5">
        <f t="shared" ref="Q35:X39" si="22">Q8+((($P35-$O8)*(Q9-Q8))/($O9-$O8))</f>
        <v>1.2944520141849765</v>
      </c>
      <c r="R35" s="5">
        <f t="shared" si="22"/>
        <v>2.7269383039521129</v>
      </c>
      <c r="S35" s="5">
        <f t="shared" si="22"/>
        <v>3.4644291637968698</v>
      </c>
      <c r="T35" s="5">
        <f t="shared" si="22"/>
        <v>4.3734085984475737</v>
      </c>
      <c r="U35" s="5">
        <f t="shared" si="22"/>
        <v>5.7406448882147103</v>
      </c>
      <c r="V35" s="5">
        <f t="shared" si="22"/>
        <v>8.2034177386028162</v>
      </c>
      <c r="W35" s="5">
        <f t="shared" si="22"/>
        <v>10.078940588990923</v>
      </c>
      <c r="X35" s="5">
        <f t="shared" si="22"/>
        <v>10.756440274409668</v>
      </c>
    </row>
    <row r="36" spans="12:24" x14ac:dyDescent="0.35">
      <c r="O36" s="16">
        <v>3</v>
      </c>
      <c r="P36" s="17">
        <f>P35+M10</f>
        <v>28.049999999999997</v>
      </c>
      <c r="Q36" s="5">
        <f t="shared" si="22"/>
        <v>3.1746471732535202</v>
      </c>
      <c r="R36" s="5">
        <f t="shared" si="22"/>
        <v>4.903018745695304</v>
      </c>
      <c r="S36" s="5">
        <f t="shared" si="22"/>
        <v>5.9121334630206563</v>
      </c>
      <c r="T36" s="5">
        <f t="shared" si="22"/>
        <v>7.3127481803460084</v>
      </c>
      <c r="U36" s="5">
        <f t="shared" si="22"/>
        <v>8.9121266079042254</v>
      </c>
      <c r="V36" s="5">
        <f t="shared" si="22"/>
        <v>10.552417738602816</v>
      </c>
      <c r="W36" s="5">
        <f t="shared" si="22"/>
        <v>11.764816731510329</v>
      </c>
      <c r="X36" s="5">
        <f t="shared" si="22"/>
        <v>12.151486832151871</v>
      </c>
    </row>
    <row r="37" spans="12:24" x14ac:dyDescent="0.35">
      <c r="O37" s="16">
        <v>4</v>
      </c>
      <c r="P37" s="17">
        <f>P36+M10</f>
        <v>37.4</v>
      </c>
      <c r="Q37" s="5">
        <f t="shared" si="22"/>
        <v>5.6208446173608761</v>
      </c>
      <c r="R37" s="5">
        <f t="shared" si="22"/>
        <v>7.2551083275937405</v>
      </c>
      <c r="S37" s="5">
        <f t="shared" si="22"/>
        <v>8.4068537575161191</v>
      </c>
      <c r="T37" s="5">
        <f t="shared" si="22"/>
        <v>9.8651083275937417</v>
      </c>
      <c r="U37" s="5">
        <f t="shared" si="22"/>
        <v>11.13364031813709</v>
      </c>
      <c r="V37" s="5">
        <f t="shared" si="22"/>
        <v>12.03342687875806</v>
      </c>
      <c r="W37" s="5">
        <f t="shared" si="22"/>
        <v>12.629718009456651</v>
      </c>
      <c r="X37" s="5">
        <f t="shared" si="22"/>
        <v>12.795422161684627</v>
      </c>
    </row>
    <row r="38" spans="12:24" x14ac:dyDescent="0.35">
      <c r="O38" s="16">
        <v>5</v>
      </c>
      <c r="P38" s="17">
        <f>P37+M10</f>
        <v>46.75</v>
      </c>
      <c r="Q38" s="5">
        <f>Q11+((($P38-$O11)*(Q12-Q11))/($O12-$O11))-M33*0.25</f>
        <v>7.5359389343135126</v>
      </c>
      <c r="R38" s="5">
        <f t="shared" si="22"/>
        <v>9.5009593346862289</v>
      </c>
      <c r="S38" s="5">
        <f t="shared" si="22"/>
        <v>10.516101472477308</v>
      </c>
      <c r="T38" s="5">
        <f t="shared" si="22"/>
        <v>11.739124322865417</v>
      </c>
      <c r="U38" s="5">
        <f t="shared" si="22"/>
        <v>12.370300736238654</v>
      </c>
      <c r="V38" s="5">
        <f t="shared" si="22"/>
        <v>12.822454299223788</v>
      </c>
      <c r="W38" s="5">
        <f t="shared" si="22"/>
        <v>12.948357862208921</v>
      </c>
      <c r="X38" s="5">
        <f t="shared" si="22"/>
        <v>12.99627812014109</v>
      </c>
    </row>
    <row r="39" spans="12:24" x14ac:dyDescent="0.35">
      <c r="O39" s="16">
        <v>6</v>
      </c>
      <c r="P39" s="17">
        <f>P38+M10</f>
        <v>56.1</v>
      </c>
      <c r="Q39" s="5">
        <f>Q12+((($P39-$O12)*(Q13-Q12))/($O13-$O12))-M33/2</f>
        <v>9.2780378213437693</v>
      </c>
      <c r="R39" s="5">
        <f>R12+((($P39-$O12)*(R13-R12))/($O13-$O12))-M34*0.25</f>
        <v>11.176205923970228</v>
      </c>
      <c r="S39" s="5">
        <f t="shared" si="22"/>
        <v>11.978876607904226</v>
      </c>
      <c r="T39" s="5">
        <f t="shared" si="22"/>
        <v>12.770917738602817</v>
      </c>
      <c r="U39" s="5">
        <f t="shared" si="22"/>
        <v>12.91045886930141</v>
      </c>
      <c r="V39" s="5">
        <f t="shared" si="22"/>
        <v>12.983243144883568</v>
      </c>
      <c r="W39" s="5">
        <f t="shared" si="22"/>
        <v>13.048493144883569</v>
      </c>
      <c r="X39" s="5">
        <f t="shared" si="22"/>
        <v>13.049299845097416</v>
      </c>
    </row>
    <row r="40" spans="12:24" x14ac:dyDescent="0.35">
      <c r="O40" s="16">
        <v>7</v>
      </c>
      <c r="P40" s="17">
        <f>P39+M10</f>
        <v>65.45</v>
      </c>
      <c r="Q40" s="5">
        <f>Q14+((($P40-$O14)*(Q15-Q14))/($O15-$O14))-M33*0.75</f>
        <v>10.411487250081695</v>
      </c>
      <c r="R40" s="5">
        <f>R14+((($P40-$O14)*(R15-R14))/($O15-$O14))-M34/2</f>
        <v>12.194280204573793</v>
      </c>
      <c r="S40" s="5">
        <f t="shared" ref="S40:X40" si="23">S14+((($P40-$O14)*(S15-S14))/($O15-$O14))</f>
        <v>12.760218009456652</v>
      </c>
      <c r="T40" s="5">
        <f t="shared" si="23"/>
        <v>12.993867002364162</v>
      </c>
      <c r="U40" s="5">
        <f t="shared" si="23"/>
        <v>13.05</v>
      </c>
      <c r="V40" s="5">
        <f t="shared" si="23"/>
        <v>13.05</v>
      </c>
      <c r="W40" s="5">
        <f t="shared" si="23"/>
        <v>13.05</v>
      </c>
      <c r="X40" s="5">
        <f t="shared" si="23"/>
        <v>13.05</v>
      </c>
    </row>
    <row r="41" spans="12:24" x14ac:dyDescent="0.35">
      <c r="O41" s="16">
        <v>8</v>
      </c>
      <c r="P41" s="17">
        <f>P40+M10</f>
        <v>74.8</v>
      </c>
      <c r="Q41" s="5">
        <f>Q15+((($P41-$O15)*(Q16-Q15))/($O16-$O15))-M33</f>
        <v>10.751236949673451</v>
      </c>
      <c r="R41" s="5">
        <f>R15+((($P41-$O15)*(R16-R15))/($O16-$O15))-M34</f>
        <v>12.417659137585877</v>
      </c>
      <c r="S41" s="5">
        <f t="shared" ref="S41:X41" si="24">S15+((($P41-$O15)*(S16-S15))/($O16-$O15))</f>
        <v>12.988204770993223</v>
      </c>
      <c r="T41" s="5">
        <f t="shared" si="24"/>
        <v>13.05</v>
      </c>
      <c r="U41" s="5">
        <f t="shared" si="24"/>
        <v>13.05</v>
      </c>
      <c r="V41" s="5">
        <f t="shared" si="24"/>
        <v>13.05</v>
      </c>
      <c r="W41" s="5">
        <f t="shared" si="24"/>
        <v>13.05</v>
      </c>
      <c r="X41" s="5">
        <f t="shared" si="24"/>
        <v>13.05</v>
      </c>
    </row>
    <row r="42" spans="12:24" x14ac:dyDescent="0.35">
      <c r="O42" s="16">
        <v>9</v>
      </c>
      <c r="P42" s="17">
        <f>P41+M10</f>
        <v>84.149999999999991</v>
      </c>
      <c r="Q42" s="5">
        <f>Q15+((($P42-$O15)*(Q16-Q15))/($O16-$O15))-M33</f>
        <v>10.751236949673451</v>
      </c>
      <c r="R42" s="5">
        <f>R15+((($P42-$O15)*(R16-R15))/($O16-$O15))-M34</f>
        <v>12.430937525864266</v>
      </c>
      <c r="S42" s="5">
        <f t="shared" ref="S42:X42" si="25">S15+((($P42-$O15)*(S16-S15))/($O16-$O15))</f>
        <v>13.001483159271611</v>
      </c>
      <c r="T42" s="5">
        <f t="shared" si="25"/>
        <v>13.05</v>
      </c>
      <c r="U42" s="5">
        <f t="shared" si="25"/>
        <v>13.05</v>
      </c>
      <c r="V42" s="5">
        <f t="shared" si="25"/>
        <v>13.05</v>
      </c>
      <c r="W42" s="5">
        <f t="shared" si="25"/>
        <v>13.05</v>
      </c>
      <c r="X42" s="5">
        <f t="shared" si="25"/>
        <v>13.05</v>
      </c>
    </row>
    <row r="43" spans="12:24" x14ac:dyDescent="0.35">
      <c r="O43" s="16">
        <v>10</v>
      </c>
      <c r="P43" s="17">
        <f>P42+M10</f>
        <v>93.499999999999986</v>
      </c>
      <c r="Q43" s="5">
        <f>Q15+((($P43-$O15)*(Q16-Q15))/($O16-$O15))-M33</f>
        <v>10.751236949673451</v>
      </c>
      <c r="R43" s="5">
        <f>R15+((($P43-$O15)*(R16-R15))/($O16-$O15))-M34</f>
        <v>12.444215914142655</v>
      </c>
      <c r="S43" s="5">
        <f t="shared" ref="S43:X43" si="26">S15+((($P43-$O15)*(S16-S15))/($O16-$O15))</f>
        <v>13.01476154755</v>
      </c>
      <c r="T43" s="5">
        <f t="shared" si="26"/>
        <v>13.05</v>
      </c>
      <c r="U43" s="5">
        <f t="shared" si="26"/>
        <v>13.05</v>
      </c>
      <c r="V43" s="5">
        <f t="shared" si="26"/>
        <v>13.05</v>
      </c>
      <c r="W43" s="5">
        <f t="shared" si="26"/>
        <v>13.05</v>
      </c>
      <c r="X43" s="5">
        <f t="shared" si="26"/>
        <v>13.05</v>
      </c>
    </row>
    <row r="44" spans="12:24" x14ac:dyDescent="0.35">
      <c r="O44" s="16">
        <v>11</v>
      </c>
      <c r="P44" s="17">
        <f>P43+M10</f>
        <v>102.84999999999998</v>
      </c>
      <c r="Q44" s="5">
        <f>Q15+((($P44-$O15)*(Q16-Q15))/($O16-$O15))-M33</f>
        <v>10.751236949673451</v>
      </c>
      <c r="R44" s="5">
        <f>R15+((($P44-$O15)*(R16-R15))/($O16-$O15))-M34</f>
        <v>12.457494302421043</v>
      </c>
      <c r="S44" s="5">
        <f t="shared" ref="S44:X44" si="27">S15+((($P44-$O15)*(S16-S15))/($O16-$O15))</f>
        <v>13.028039935828389</v>
      </c>
      <c r="T44" s="5">
        <f t="shared" si="27"/>
        <v>13.05</v>
      </c>
      <c r="U44" s="5">
        <f t="shared" si="27"/>
        <v>13.05</v>
      </c>
      <c r="V44" s="5">
        <f t="shared" si="27"/>
        <v>13.05</v>
      </c>
      <c r="W44" s="5">
        <f t="shared" si="27"/>
        <v>13.05</v>
      </c>
      <c r="X44" s="5">
        <f t="shared" si="27"/>
        <v>13.05</v>
      </c>
    </row>
    <row r="45" spans="12:24" x14ac:dyDescent="0.35">
      <c r="O45" s="16">
        <v>12</v>
      </c>
      <c r="P45" s="17">
        <f>P44+M10</f>
        <v>112.19999999999997</v>
      </c>
      <c r="Q45" s="5">
        <f>Q15+((($P45-$O15)*(Q16-Q15))/($O16-$O15))-M33</f>
        <v>10.751236949673451</v>
      </c>
      <c r="R45" s="5">
        <f>R15+((($P45-$O15)*(R16-R15))/($O16-$O15))-M34</f>
        <v>12.470772690699432</v>
      </c>
      <c r="S45" s="5">
        <f t="shared" ref="S45:X45" si="28">S15+((($P45-$O15)*(S16-S15))/($O16-$O15))</f>
        <v>13.041318324106777</v>
      </c>
      <c r="T45" s="5">
        <f t="shared" si="28"/>
        <v>13.05</v>
      </c>
      <c r="U45" s="5">
        <f t="shared" si="28"/>
        <v>13.05</v>
      </c>
      <c r="V45" s="5">
        <f t="shared" si="28"/>
        <v>13.05</v>
      </c>
      <c r="W45" s="5">
        <f t="shared" si="28"/>
        <v>13.05</v>
      </c>
      <c r="X45" s="5">
        <f t="shared" si="28"/>
        <v>13.05</v>
      </c>
    </row>
    <row r="46" spans="12:24" x14ac:dyDescent="0.35">
      <c r="O46" s="16">
        <v>13</v>
      </c>
      <c r="P46" s="17">
        <f>P45+M10</f>
        <v>121.54999999999997</v>
      </c>
      <c r="Q46" s="5">
        <f>Q16+((($P46-$O16)*(Q17-Q16))/($O17-$O16))-M33</f>
        <v>10.612869660762616</v>
      </c>
      <c r="R46" s="5">
        <f>R16+((($P46-$O16)*(R17-R16))/($O17-$O16))-M34</f>
        <v>12.34108707768182</v>
      </c>
      <c r="S46" s="5">
        <f t="shared" ref="S46:X46" si="29">S16+((($P46-$O16)*(S17-S16))/($O17-$O16))</f>
        <v>12.966979626653499</v>
      </c>
      <c r="T46" s="5">
        <f t="shared" si="29"/>
        <v>13.022326542217833</v>
      </c>
      <c r="U46" s="5">
        <f t="shared" si="29"/>
        <v>13.05</v>
      </c>
      <c r="V46" s="5">
        <f t="shared" si="29"/>
        <v>13.05</v>
      </c>
      <c r="W46" s="5">
        <f t="shared" si="29"/>
        <v>13.05</v>
      </c>
      <c r="X46" s="5">
        <f t="shared" si="29"/>
        <v>13.05</v>
      </c>
    </row>
    <row r="47" spans="12:24" x14ac:dyDescent="0.35">
      <c r="O47" s="16">
        <v>14</v>
      </c>
      <c r="P47" s="17">
        <f>P46+M10</f>
        <v>130.89999999999998</v>
      </c>
      <c r="Q47" s="5">
        <f>Q17+((($P47-$O17)*(Q18-Q17))/($O18-$O17))-M33*0.75</f>
        <v>10.432646682682371</v>
      </c>
      <c r="R47" s="5">
        <f>R17+((($P47-$O17)*(R18-R17))/($O18-$O17))-M34/2</f>
        <v>12.057210508976754</v>
      </c>
      <c r="S47" s="5">
        <f t="shared" ref="S47:X47" si="30">S17+((($P47-$O17)*(S18-S17))/($O18-$O17))</f>
        <v>12.642435180933569</v>
      </c>
      <c r="T47" s="5">
        <f t="shared" si="30"/>
        <v>12.900024072373428</v>
      </c>
      <c r="U47" s="5">
        <f t="shared" si="30"/>
        <v>12.965274072373429</v>
      </c>
      <c r="V47" s="5">
        <f t="shared" si="30"/>
        <v>12.965274072373429</v>
      </c>
      <c r="W47" s="5">
        <f t="shared" si="30"/>
        <v>13.007637036186715</v>
      </c>
      <c r="X47" s="5">
        <f t="shared" si="30"/>
        <v>13.03031619863221</v>
      </c>
    </row>
    <row r="48" spans="12:24" x14ac:dyDescent="0.35">
      <c r="O48" s="16">
        <v>15</v>
      </c>
      <c r="P48" s="17">
        <f>P47+M10</f>
        <v>140.24999999999997</v>
      </c>
      <c r="Q48" s="5">
        <f>Q18+((($P48-$O18)*(Q19-Q18))/($O19-$O18))-M33/2</f>
        <v>9.4383391382598187</v>
      </c>
      <c r="R48" s="5">
        <f>R18+((($P48-$O18)*(R19-R18))/($O19-$O18))-M34*0.25</f>
        <v>11.252181483670897</v>
      </c>
      <c r="S48" s="5">
        <f t="shared" ref="S48:X48" si="31">S18+((($P48-$O18)*(S19-S18))/($O19-$O18))</f>
        <v>12.071580241244762</v>
      </c>
      <c r="T48" s="5">
        <f t="shared" si="31"/>
        <v>12.454882711089166</v>
      </c>
      <c r="U48" s="5">
        <f t="shared" si="31"/>
        <v>12.69129012062238</v>
      </c>
      <c r="V48" s="5">
        <f t="shared" si="31"/>
        <v>12.80539506031119</v>
      </c>
      <c r="W48" s="5">
        <f t="shared" si="31"/>
        <v>12.813592590466785</v>
      </c>
      <c r="X48" s="5">
        <f t="shared" si="31"/>
        <v>12.879067650080456</v>
      </c>
    </row>
    <row r="49" spans="15:24" x14ac:dyDescent="0.35">
      <c r="O49" s="16">
        <v>16</v>
      </c>
      <c r="P49" s="17">
        <f>P48+M10</f>
        <v>149.59999999999997</v>
      </c>
      <c r="Q49" s="5">
        <f>Q20+((($P49-$O20)*(Q21-Q20))/($O21-$O20))-M33*0.25</f>
        <v>7.6969025817750305</v>
      </c>
      <c r="R49" s="5">
        <f t="shared" ref="R49:X49" si="32">R20+((($P49-$O20)*(R21-R20))/($O21-$O20))</f>
        <v>9.7037647961077163</v>
      </c>
      <c r="S49" s="5">
        <f t="shared" si="32"/>
        <v>10.825668506614001</v>
      </c>
      <c r="T49" s="5">
        <f t="shared" si="32"/>
        <v>11.556402458365048</v>
      </c>
      <c r="U49" s="5">
        <f t="shared" si="32"/>
        <v>11.889144434240574</v>
      </c>
      <c r="V49" s="5">
        <f t="shared" si="32"/>
        <v>12.097878385991621</v>
      </c>
      <c r="W49" s="5">
        <f t="shared" si="32"/>
        <v>12.241362337742666</v>
      </c>
      <c r="X49" s="5">
        <f t="shared" si="32"/>
        <v>12.356584298997296</v>
      </c>
    </row>
    <row r="50" spans="15:24" x14ac:dyDescent="0.35">
      <c r="O50" s="16">
        <v>17</v>
      </c>
      <c r="P50" s="17">
        <f>P49+M10</f>
        <v>158.94999999999996</v>
      </c>
      <c r="Q50" s="5">
        <f>Q21+((($P50-$O21)*(Q22-Q21))/($O22-$O21))</f>
        <v>5.5421240608940803</v>
      </c>
      <c r="R50" s="5">
        <f t="shared" ref="R50:X50" si="33">R21+((($P50-$O21)*(R22-R21))/($O22-$O21))</f>
        <v>7.4046648075870767</v>
      </c>
      <c r="S50" s="5">
        <f t="shared" si="33"/>
        <v>8.998668506614008</v>
      </c>
      <c r="T50" s="5">
        <f t="shared" si="33"/>
        <v>9.8680999885206511</v>
      </c>
      <c r="U50" s="5">
        <f t="shared" si="33"/>
        <v>10.25959998852065</v>
      </c>
      <c r="V50" s="5">
        <f t="shared" si="33"/>
        <v>10.58584998852065</v>
      </c>
      <c r="W50" s="5">
        <f t="shared" si="33"/>
        <v>10.868031470427294</v>
      </c>
      <c r="X50" s="5">
        <f t="shared" si="33"/>
        <v>11.111641123186446</v>
      </c>
    </row>
    <row r="51" spans="15:24" x14ac:dyDescent="0.35">
      <c r="O51" s="16">
        <v>18</v>
      </c>
      <c r="P51" s="17">
        <f>P50+M10</f>
        <v>168.29999999999995</v>
      </c>
      <c r="Q51" s="5">
        <f>Q22+((($P51-$O22)*(Q23-Q22))/($O23-$O22))</f>
        <v>3.0998703618671577</v>
      </c>
      <c r="R51" s="5">
        <f t="shared" ref="R51:X51" si="34">R22+((($P51-$O22)*(R23-R22))/($O23-$O22))</f>
        <v>5.4717573980538736</v>
      </c>
      <c r="S51" s="5">
        <f t="shared" si="34"/>
        <v>6.5810073980538739</v>
      </c>
      <c r="T51" s="5">
        <f t="shared" si="34"/>
        <v>7.3868944342405891</v>
      </c>
      <c r="U51" s="5">
        <f t="shared" si="34"/>
        <v>7.706652458365066</v>
      </c>
      <c r="V51" s="5">
        <f t="shared" si="34"/>
        <v>7.9611604824895439</v>
      </c>
      <c r="W51" s="5">
        <f t="shared" si="34"/>
        <v>8.3232814704273057</v>
      </c>
      <c r="X51" s="5">
        <f t="shared" si="34"/>
        <v>8.6952788146909832</v>
      </c>
    </row>
    <row r="52" spans="15:24" x14ac:dyDescent="0.35">
      <c r="O52" s="16">
        <v>19</v>
      </c>
      <c r="P52" s="17">
        <f>P51+M10</f>
        <v>177.64999999999995</v>
      </c>
      <c r="Q52" s="5">
        <f>Q23+((($P52-$O23)*(Q24-Q23))/($O24-$O23))</f>
        <v>1.0556086387157551</v>
      </c>
      <c r="R52" s="5">
        <f t="shared" ref="R52:X52" si="35">R23+((($P52-$O23)*(R24-R23))/($O24-$O23))</f>
        <v>2.7326327110891926</v>
      </c>
      <c r="S52" s="5">
        <f t="shared" si="35"/>
        <v>3.5385197472759113</v>
      </c>
      <c r="T52" s="5">
        <f t="shared" si="35"/>
        <v>3.9529067834626299</v>
      </c>
      <c r="U52" s="5">
        <f t="shared" si="35"/>
        <v>4.1127857955248697</v>
      </c>
      <c r="V52" s="5">
        <f t="shared" si="35"/>
        <v>4.30853579552487</v>
      </c>
      <c r="W52" s="5">
        <f t="shared" si="35"/>
        <v>4.7000357955248706</v>
      </c>
      <c r="X52" s="5">
        <f t="shared" si="35"/>
        <v>5.119217613706688</v>
      </c>
    </row>
    <row r="53" spans="15:24" x14ac:dyDescent="0.35">
      <c r="O53" s="16">
        <v>20</v>
      </c>
      <c r="P53" s="17">
        <f>P52+M10</f>
        <v>186.99999999999994</v>
      </c>
      <c r="Q53" s="5">
        <f>Q25</f>
        <v>0</v>
      </c>
      <c r="R53" s="5">
        <f t="shared" ref="R53:X53" si="36">R25</f>
        <v>0</v>
      </c>
      <c r="S53" s="5">
        <f t="shared" si="36"/>
        <v>0</v>
      </c>
      <c r="T53" s="5">
        <f t="shared" si="36"/>
        <v>0</v>
      </c>
      <c r="U53" s="5">
        <f t="shared" si="36"/>
        <v>0</v>
      </c>
      <c r="V53" s="5">
        <f t="shared" si="36"/>
        <v>0</v>
      </c>
      <c r="W53" s="5">
        <f t="shared" si="36"/>
        <v>0.45675000000000004</v>
      </c>
      <c r="X53" s="5">
        <f t="shared" si="36"/>
        <v>0.77113636363636329</v>
      </c>
    </row>
    <row r="54" spans="15:24" x14ac:dyDescent="0.35">
      <c r="O54" s="8"/>
      <c r="P54" s="8"/>
      <c r="Q54" s="8"/>
      <c r="R54" s="8"/>
      <c r="S54" s="8"/>
      <c r="T54" s="8"/>
      <c r="U54" s="8"/>
      <c r="V54" s="8"/>
      <c r="W54" s="8"/>
      <c r="X54" s="8"/>
    </row>
    <row r="66" spans="23:23" x14ac:dyDescent="0.35">
      <c r="W66" s="3"/>
    </row>
    <row r="67" spans="23:23" x14ac:dyDescent="0.35">
      <c r="W67" s="3"/>
    </row>
  </sheetData>
  <mergeCells count="3">
    <mergeCell ref="Q31:X31"/>
    <mergeCell ref="O3:Y3"/>
    <mergeCell ref="O29:X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97D6-BD7A-4FC7-A0B6-0D38F373DF10}">
  <dimension ref="A1:M50"/>
  <sheetViews>
    <sheetView workbookViewId="0">
      <selection activeCell="F18" sqref="F18"/>
    </sheetView>
  </sheetViews>
  <sheetFormatPr defaultRowHeight="14.5" x14ac:dyDescent="0.35"/>
  <cols>
    <col min="1" max="3" width="8.81640625" bestFit="1" customWidth="1"/>
    <col min="4" max="4" width="12.1796875" customWidth="1"/>
    <col min="5" max="5" width="12" bestFit="1" customWidth="1"/>
    <col min="6" max="6" width="13.7265625" bestFit="1" customWidth="1"/>
    <col min="7" max="7" width="12.81640625" bestFit="1" customWidth="1"/>
    <col min="8" max="9" width="8.81640625" bestFit="1" customWidth="1"/>
    <col min="10" max="10" width="12.81640625" bestFit="1" customWidth="1"/>
    <col min="23" max="23" width="15" bestFit="1" customWidth="1"/>
  </cols>
  <sheetData>
    <row r="1" spans="1:13" x14ac:dyDescent="0.35">
      <c r="K1" s="20" t="s">
        <v>681</v>
      </c>
      <c r="L1" s="20" t="s">
        <v>679</v>
      </c>
      <c r="M1" s="20" t="s">
        <v>680</v>
      </c>
    </row>
    <row r="2" spans="1:13" x14ac:dyDescent="0.35">
      <c r="A2" s="20" t="s">
        <v>48</v>
      </c>
      <c r="B2" s="20" t="s">
        <v>60</v>
      </c>
      <c r="C2" s="20" t="s">
        <v>61</v>
      </c>
      <c r="D2" s="20" t="s">
        <v>387</v>
      </c>
      <c r="E2" s="20" t="s">
        <v>62</v>
      </c>
      <c r="F2" s="20" t="s">
        <v>63</v>
      </c>
      <c r="G2" s="20" t="s">
        <v>4</v>
      </c>
      <c r="K2" s="20" t="str" cm="1">
        <f t="array" ref="K2:K7">TRANSPOSE(A11:F11)</f>
        <v>δd</v>
      </c>
      <c r="L2" s="1">
        <v>11.545000000000002</v>
      </c>
      <c r="M2" s="1" cm="1">
        <f t="array" ref="M2:M7">TRANSPOSE(A12:F12)</f>
        <v>15.145201121893155</v>
      </c>
    </row>
    <row r="3" spans="1:13" x14ac:dyDescent="0.35">
      <c r="A3" s="22">
        <f>Prelude!D2</f>
        <v>26.1</v>
      </c>
      <c r="B3" s="22">
        <f>A3/2</f>
        <v>13.05</v>
      </c>
      <c r="C3" s="22">
        <f>B3-D3</f>
        <v>11.05</v>
      </c>
      <c r="D3" s="22">
        <v>2</v>
      </c>
      <c r="E3" s="22">
        <f>Prelude!F2</f>
        <v>9.9</v>
      </c>
      <c r="F3" s="22">
        <f>Prelude!E2</f>
        <v>13.7</v>
      </c>
      <c r="G3" s="22">
        <f>Prelude!C2</f>
        <v>187</v>
      </c>
      <c r="K3" s="20" t="str">
        <v>δb</v>
      </c>
      <c r="L3" s="1">
        <v>13.48</v>
      </c>
      <c r="M3" s="1">
        <v>17.683612916684254</v>
      </c>
    </row>
    <row r="4" spans="1:13" x14ac:dyDescent="0.35">
      <c r="A4" s="21"/>
      <c r="B4" s="21"/>
      <c r="C4" s="21"/>
      <c r="D4" s="21"/>
      <c r="E4" s="21"/>
      <c r="F4" s="21"/>
      <c r="G4" s="21"/>
      <c r="K4" s="20" t="str">
        <v>δdb</v>
      </c>
      <c r="L4" s="1">
        <v>9.2360000000000024</v>
      </c>
      <c r="M4" s="1">
        <v>12.116160897514526</v>
      </c>
    </row>
    <row r="5" spans="1:13" x14ac:dyDescent="0.35">
      <c r="A5" s="20" t="s">
        <v>64</v>
      </c>
      <c r="B5" s="20" t="s">
        <v>65</v>
      </c>
      <c r="C5" s="20" t="s">
        <v>66</v>
      </c>
      <c r="D5" s="20" t="s">
        <v>69</v>
      </c>
      <c r="F5" s="21"/>
      <c r="G5" s="20" t="s">
        <v>0</v>
      </c>
      <c r="H5" s="2">
        <f>Prelude!I2</f>
        <v>0.77</v>
      </c>
      <c r="K5" s="20" t="str">
        <v>δbt</v>
      </c>
      <c r="L5" s="1">
        <v>7.3888000000000025</v>
      </c>
      <c r="M5" s="1">
        <v>9.6929287180116219</v>
      </c>
    </row>
    <row r="6" spans="1:13" x14ac:dyDescent="0.35">
      <c r="A6" s="22">
        <f>(((G3-40)/0.57)+40*A3+3500*(E3/G3))/1000</f>
        <v>1.487188854489164</v>
      </c>
      <c r="B6" s="22">
        <f>0.2*F3</f>
        <v>2.74</v>
      </c>
      <c r="C6" s="22">
        <f>0.3*F3</f>
        <v>4.1099999999999994</v>
      </c>
      <c r="D6" s="22">
        <f>F3-B6-C6</f>
        <v>6.85</v>
      </c>
      <c r="F6" s="21"/>
      <c r="G6" s="20" t="s">
        <v>18</v>
      </c>
      <c r="H6" s="22">
        <f>-0.6857*(H5^2)+0.4187*H5+0.2231</f>
        <v>0.13894747000000005</v>
      </c>
      <c r="K6" s="20" t="str">
        <v>δ1</v>
      </c>
      <c r="L6" s="1">
        <v>15.008500000000003</v>
      </c>
      <c r="M6" s="1">
        <v>19.688761458461101</v>
      </c>
    </row>
    <row r="7" spans="1:13" x14ac:dyDescent="0.35">
      <c r="A7" s="21"/>
      <c r="B7" s="21"/>
      <c r="C7" s="21"/>
      <c r="F7" s="21"/>
      <c r="G7" s="20" t="s">
        <v>19</v>
      </c>
      <c r="H7" s="22">
        <f>H6*SQRT(A3*E3)</f>
        <v>2.2335130503265481</v>
      </c>
      <c r="K7" s="20" t="str">
        <v>δ2</v>
      </c>
      <c r="L7" s="1">
        <v>17.524000000000001</v>
      </c>
      <c r="M7" s="1">
        <v>22.988696791689531</v>
      </c>
    </row>
    <row r="8" spans="1:13" x14ac:dyDescent="0.35">
      <c r="A8" s="20" t="s">
        <v>67</v>
      </c>
      <c r="B8" s="22">
        <f>2.25*((G3+30)/80)^0.25</f>
        <v>2.8875196930627687</v>
      </c>
      <c r="C8" s="21"/>
      <c r="D8" s="20" t="s">
        <v>388</v>
      </c>
      <c r="F8" s="21"/>
      <c r="G8" s="21"/>
      <c r="K8" s="20" t="str" cm="1">
        <f t="array" ref="K8:K13">TRANSPOSE(A13:F13)</f>
        <v>δ4</v>
      </c>
      <c r="L8" s="1">
        <v>12.132000000000001</v>
      </c>
      <c r="M8" s="1" cm="1">
        <f t="array" ref="M8:M13">TRANSPOSE(A14:F14)</f>
        <v>15.915251625015829</v>
      </c>
    </row>
    <row r="9" spans="1:13" x14ac:dyDescent="0.35">
      <c r="A9" s="20" t="s">
        <v>68</v>
      </c>
      <c r="B9" s="22">
        <v>3</v>
      </c>
      <c r="C9" s="21"/>
      <c r="D9" s="1">
        <f>C3/4</f>
        <v>2.7625000000000002</v>
      </c>
      <c r="F9" s="21"/>
      <c r="G9" s="21"/>
      <c r="K9" s="20" t="str">
        <v>δ5</v>
      </c>
      <c r="L9" s="1">
        <v>13.48</v>
      </c>
      <c r="M9" s="1">
        <v>17.683612916684254</v>
      </c>
    </row>
    <row r="10" spans="1:13" x14ac:dyDescent="0.35">
      <c r="A10" s="21"/>
      <c r="B10" s="21"/>
      <c r="C10" s="21"/>
      <c r="D10" s="21"/>
      <c r="E10" s="21"/>
      <c r="F10" s="21"/>
      <c r="G10" s="21"/>
      <c r="K10" s="20" t="str">
        <v>t2</v>
      </c>
      <c r="L10" s="1">
        <v>16.175999999999998</v>
      </c>
      <c r="M10" s="1">
        <v>21.220335500021104</v>
      </c>
    </row>
    <row r="11" spans="1:13" x14ac:dyDescent="0.35">
      <c r="A11" s="20" t="s">
        <v>81</v>
      </c>
      <c r="B11" s="20" t="s">
        <v>70</v>
      </c>
      <c r="C11" s="20" t="s">
        <v>71</v>
      </c>
      <c r="D11" s="20" t="s">
        <v>72</v>
      </c>
      <c r="E11" s="20" t="s">
        <v>73</v>
      </c>
      <c r="F11" s="20" t="s">
        <v>74</v>
      </c>
      <c r="K11" s="20" t="str">
        <v>t3</v>
      </c>
      <c r="L11" s="1">
        <v>9.2360000000000024</v>
      </c>
      <c r="M11" s="1">
        <v>12.116160897514526</v>
      </c>
    </row>
    <row r="12" spans="1:13" x14ac:dyDescent="0.35">
      <c r="A12" s="1">
        <f>(0.035*G3+5)*E18</f>
        <v>15.145201121893155</v>
      </c>
      <c r="B12" s="1">
        <f>(0.04*G3+6)*E18</f>
        <v>17.683612916684254</v>
      </c>
      <c r="C12" s="22">
        <f>0.8*A12</f>
        <v>12.116160897514526</v>
      </c>
      <c r="D12" s="22">
        <f>0.8*C12</f>
        <v>9.6929287180116219</v>
      </c>
      <c r="E12" s="22">
        <f>1.3*A12</f>
        <v>19.688761458461101</v>
      </c>
      <c r="F12" s="22">
        <f>1.3*B12</f>
        <v>22.988696791689531</v>
      </c>
      <c r="K12" s="20" t="str">
        <v>t4</v>
      </c>
      <c r="L12" s="1">
        <v>12.132000000000001</v>
      </c>
      <c r="M12" s="1">
        <v>15.915251625015829</v>
      </c>
    </row>
    <row r="13" spans="1:13" x14ac:dyDescent="0.35">
      <c r="A13" s="20" t="s">
        <v>75</v>
      </c>
      <c r="B13" s="20" t="s">
        <v>76</v>
      </c>
      <c r="C13" s="20" t="s">
        <v>77</v>
      </c>
      <c r="D13" s="20" t="s">
        <v>78</v>
      </c>
      <c r="E13" s="20" t="s">
        <v>79</v>
      </c>
      <c r="F13" s="20" t="s">
        <v>80</v>
      </c>
      <c r="G13" s="21"/>
      <c r="K13" s="20" t="str">
        <v>t5</v>
      </c>
      <c r="L13" s="1">
        <v>10</v>
      </c>
      <c r="M13" s="1">
        <v>10</v>
      </c>
    </row>
    <row r="14" spans="1:13" x14ac:dyDescent="0.35">
      <c r="A14" s="1">
        <f>0.9*B12</f>
        <v>15.915251625015829</v>
      </c>
      <c r="B14" s="1">
        <f>B12</f>
        <v>17.683612916684254</v>
      </c>
      <c r="C14" s="1">
        <f>1.2*B12</f>
        <v>21.220335500021104</v>
      </c>
      <c r="D14" s="1">
        <f>0.8*A12</f>
        <v>12.116160897514526</v>
      </c>
      <c r="E14" s="1">
        <f>0.9*B12</f>
        <v>15.915251625015829</v>
      </c>
      <c r="F14" s="1">
        <f>10</f>
        <v>10</v>
      </c>
      <c r="G14" s="21"/>
    </row>
    <row r="16" spans="1:13" x14ac:dyDescent="0.35">
      <c r="E16" s="1"/>
    </row>
    <row r="17" spans="1:10" x14ac:dyDescent="0.35">
      <c r="A17" s="20" t="s">
        <v>82</v>
      </c>
      <c r="B17" s="20" t="s">
        <v>83</v>
      </c>
      <c r="C17" s="20" t="s">
        <v>92</v>
      </c>
      <c r="D17" s="20" t="s">
        <v>93</v>
      </c>
      <c r="E17" s="20" t="s">
        <v>94</v>
      </c>
      <c r="F17" s="20" t="s">
        <v>682</v>
      </c>
      <c r="G17" s="25" t="s">
        <v>124</v>
      </c>
      <c r="H17" s="25" t="s">
        <v>125</v>
      </c>
    </row>
    <row r="18" spans="1:10" x14ac:dyDescent="0.35">
      <c r="A18" s="1">
        <f>D18/(F3-C18)*10000</f>
        <v>128111.92523213923</v>
      </c>
      <c r="B18" s="1">
        <f>(D18/C18)*10000</f>
        <v>215860.78442948556</v>
      </c>
      <c r="C18" s="1">
        <f>H50/E50</f>
        <v>5.102536702422932</v>
      </c>
      <c r="D18" s="1">
        <f>(J50-E50*C18*2)*2</f>
        <v>110.14375751652545</v>
      </c>
      <c r="E18" s="1">
        <v>1.311840720822274</v>
      </c>
      <c r="F18" s="22">
        <f>A18-G18</f>
        <v>-9.9535100162029266E-9</v>
      </c>
      <c r="G18" s="1">
        <f>0.01*H18*A3*(G3^2)*(H5+0.7)</f>
        <v>128111.92523214918</v>
      </c>
      <c r="H18">
        <f>10.75-((300-G3)/100)^1.5</f>
        <v>9.5487935231609846</v>
      </c>
    </row>
    <row r="19" spans="1:10" x14ac:dyDescent="0.35">
      <c r="E19" s="1"/>
    </row>
    <row r="21" spans="1:10" x14ac:dyDescent="0.35">
      <c r="A21" s="20" t="s">
        <v>91</v>
      </c>
      <c r="B21" s="20" t="s">
        <v>612</v>
      </c>
      <c r="C21" s="20" t="s">
        <v>121</v>
      </c>
      <c r="D21" s="20" t="s">
        <v>84</v>
      </c>
      <c r="E21" s="20" t="s">
        <v>85</v>
      </c>
      <c r="F21" s="20" t="s">
        <v>86</v>
      </c>
      <c r="G21" s="20" t="s">
        <v>87</v>
      </c>
      <c r="H21" s="20" t="s">
        <v>88</v>
      </c>
      <c r="I21" s="20" t="s">
        <v>89</v>
      </c>
      <c r="J21" s="20" t="s">
        <v>90</v>
      </c>
    </row>
    <row r="22" spans="1:10" x14ac:dyDescent="0.35">
      <c r="A22" s="2" t="s">
        <v>2</v>
      </c>
      <c r="B22" s="23">
        <f>E12</f>
        <v>19.688761458461101</v>
      </c>
      <c r="C22" s="24">
        <f>B22*10^-3</f>
        <v>1.9688761458461101E-2</v>
      </c>
      <c r="D22" s="2">
        <v>1.2</v>
      </c>
      <c r="E22" s="2">
        <f>C22*D22</f>
        <v>2.362651375015332E-2</v>
      </c>
      <c r="F22" s="2">
        <v>13.1</v>
      </c>
      <c r="G22" s="2">
        <f>(C22*D22^3)/12</f>
        <v>2.8351816500183989E-3</v>
      </c>
      <c r="H22" s="2">
        <f>E22*F22</f>
        <v>0.30950733012700848</v>
      </c>
      <c r="I22" s="2">
        <f>E22*(F22^2)</f>
        <v>4.0545460246638108</v>
      </c>
      <c r="J22" s="2">
        <f>G22+I22</f>
        <v>4.0573812063138295</v>
      </c>
    </row>
    <row r="23" spans="1:10" x14ac:dyDescent="0.35">
      <c r="A23" s="2" t="s">
        <v>96</v>
      </c>
      <c r="B23" s="2">
        <f>E14</f>
        <v>15.915251625015829</v>
      </c>
      <c r="C23" s="24">
        <f t="shared" ref="C23:C49" si="0">B23*10^-3</f>
        <v>1.5915251625015829E-2</v>
      </c>
      <c r="D23" s="2">
        <v>1.54</v>
      </c>
      <c r="E23" s="2">
        <f t="shared" ref="E23:E25" si="1">C23*D23</f>
        <v>2.4509487502524376E-2</v>
      </c>
      <c r="F23" s="2">
        <v>11.73</v>
      </c>
      <c r="G23" s="2">
        <f>(C23*D23^3)/12</f>
        <v>4.8438917134155683E-3</v>
      </c>
      <c r="H23" s="2">
        <f t="shared" ref="H23:H49" si="2">E23*F23</f>
        <v>0.28749628840461094</v>
      </c>
      <c r="I23" s="2">
        <f t="shared" ref="I23:I49" si="3">E23*(F23^2)</f>
        <v>3.3723314629860868</v>
      </c>
      <c r="J23" s="2">
        <f t="shared" ref="J23:J49" si="4">G23+I23</f>
        <v>3.3771753546995025</v>
      </c>
    </row>
    <row r="24" spans="1:10" x14ac:dyDescent="0.35">
      <c r="A24" s="2" t="s">
        <v>97</v>
      </c>
      <c r="B24" s="2">
        <f>D14</f>
        <v>12.116160897514526</v>
      </c>
      <c r="C24" s="24">
        <f t="shared" si="0"/>
        <v>1.2116160897514525E-2</v>
      </c>
      <c r="D24" s="2">
        <v>4.1100000000000003</v>
      </c>
      <c r="E24" s="2">
        <f t="shared" si="1"/>
        <v>4.9797421288784706E-2</v>
      </c>
      <c r="F24" s="2">
        <v>8.9049999999999994</v>
      </c>
      <c r="G24" s="2">
        <f>(C24*D24^3)/12</f>
        <v>7.0098585012690021E-2</v>
      </c>
      <c r="H24" s="2">
        <f t="shared" si="2"/>
        <v>0.44344603657662779</v>
      </c>
      <c r="I24" s="2">
        <f t="shared" si="3"/>
        <v>3.9488869557148698</v>
      </c>
      <c r="J24" s="2">
        <f t="shared" si="4"/>
        <v>4.0189855407275594</v>
      </c>
    </row>
    <row r="25" spans="1:10" x14ac:dyDescent="0.35">
      <c r="A25" s="2" t="s">
        <v>5</v>
      </c>
      <c r="B25" s="2">
        <f>D14</f>
        <v>12.116160897514526</v>
      </c>
      <c r="C25" s="24">
        <f t="shared" si="0"/>
        <v>1.2116160897514525E-2</v>
      </c>
      <c r="D25" s="2">
        <v>4.62</v>
      </c>
      <c r="E25" s="2">
        <f t="shared" si="1"/>
        <v>5.597666334651711E-2</v>
      </c>
      <c r="F25" s="2">
        <v>4.54</v>
      </c>
      <c r="G25" s="2">
        <f>(C25*D25^3)/12</f>
        <v>9.9565691094449973E-2</v>
      </c>
      <c r="H25" s="2">
        <f t="shared" si="2"/>
        <v>0.25413405159318769</v>
      </c>
      <c r="I25" s="2">
        <f t="shared" si="3"/>
        <v>1.153768594233072</v>
      </c>
      <c r="J25" s="2">
        <f t="shared" si="4"/>
        <v>1.253334285327522</v>
      </c>
    </row>
    <row r="26" spans="1:10" x14ac:dyDescent="0.35">
      <c r="A26" s="2" t="s">
        <v>98</v>
      </c>
      <c r="B26" s="2">
        <f>B12</f>
        <v>17.683612916684254</v>
      </c>
      <c r="C26" s="24">
        <f t="shared" si="0"/>
        <v>1.7683612916684254E-2</v>
      </c>
      <c r="D26" s="2">
        <v>3.5030000000000001</v>
      </c>
      <c r="E26" s="2">
        <f>(0.25)*PI()*((H7+(C26))^2-(H7^2))</f>
        <v>6.2286685130376017E-2</v>
      </c>
      <c r="F26" s="23">
        <f>H7/2</f>
        <v>1.1167565251632741</v>
      </c>
      <c r="G26" s="2">
        <f>((0.5)-(4/PI()^2)*E26*C26^2)</f>
        <v>0.49999210599377975</v>
      </c>
      <c r="H26" s="2">
        <f t="shared" si="2"/>
        <v>6.9559062050137691E-2</v>
      </c>
      <c r="I26" s="2">
        <f t="shared" si="3"/>
        <v>7.7680536428728339E-2</v>
      </c>
      <c r="J26" s="2">
        <f t="shared" si="4"/>
        <v>0.57767264242250804</v>
      </c>
    </row>
    <row r="27" spans="1:10" x14ac:dyDescent="0.35">
      <c r="A27" s="2" t="s">
        <v>99</v>
      </c>
      <c r="B27" s="2">
        <f>B12</f>
        <v>17.683612916684254</v>
      </c>
      <c r="C27" s="24">
        <f t="shared" si="0"/>
        <v>1.7683612916684254E-2</v>
      </c>
      <c r="D27" s="2">
        <v>2.5325000000000002</v>
      </c>
      <c r="E27" s="2">
        <f>C27*D27</f>
        <v>4.4783749711502875E-2</v>
      </c>
      <c r="F27" s="2">
        <v>0</v>
      </c>
      <c r="G27" s="2">
        <f>(C27^3*D27)/12</f>
        <v>1.1670278164044209E-6</v>
      </c>
      <c r="H27" s="2">
        <f t="shared" si="2"/>
        <v>0</v>
      </c>
      <c r="I27" s="2">
        <f t="shared" si="3"/>
        <v>0</v>
      </c>
      <c r="J27" s="2">
        <f t="shared" si="4"/>
        <v>1.1670278164044209E-6</v>
      </c>
    </row>
    <row r="28" spans="1:10" x14ac:dyDescent="0.35">
      <c r="A28" s="2" t="s">
        <v>100</v>
      </c>
      <c r="B28" s="2">
        <f>B12</f>
        <v>17.683612916684254</v>
      </c>
      <c r="C28" s="24">
        <f t="shared" si="0"/>
        <v>1.7683612916684254E-2</v>
      </c>
      <c r="D28" s="2">
        <v>2.7625000000000002</v>
      </c>
      <c r="E28" s="2">
        <f t="shared" ref="E28:E49" si="5">C28*D28</f>
        <v>4.8850980682340256E-2</v>
      </c>
      <c r="F28" s="2">
        <v>0</v>
      </c>
      <c r="G28" s="2">
        <f t="shared" ref="G28:G45" si="6">(C28^3*D28)/12</f>
        <v>1.2730165223365102E-6</v>
      </c>
      <c r="H28" s="2">
        <f t="shared" si="2"/>
        <v>0</v>
      </c>
      <c r="I28" s="2">
        <f t="shared" si="3"/>
        <v>0</v>
      </c>
      <c r="J28" s="2">
        <f t="shared" si="4"/>
        <v>1.2730165223365102E-6</v>
      </c>
    </row>
    <row r="29" spans="1:10" x14ac:dyDescent="0.35">
      <c r="A29" s="2" t="s">
        <v>101</v>
      </c>
      <c r="B29" s="2">
        <f>B12</f>
        <v>17.683612916684254</v>
      </c>
      <c r="C29" s="24">
        <f t="shared" si="0"/>
        <v>1.7683612916684254E-2</v>
      </c>
      <c r="D29" s="2">
        <v>2.7625000000000002</v>
      </c>
      <c r="E29" s="2">
        <f t="shared" si="5"/>
        <v>4.8850980682340256E-2</v>
      </c>
      <c r="F29" s="2">
        <v>0</v>
      </c>
      <c r="G29" s="2">
        <f t="shared" si="6"/>
        <v>1.2730165223365102E-6</v>
      </c>
      <c r="H29" s="2">
        <f t="shared" si="2"/>
        <v>0</v>
      </c>
      <c r="I29" s="2">
        <f t="shared" si="3"/>
        <v>0</v>
      </c>
      <c r="J29" s="2">
        <f t="shared" si="4"/>
        <v>1.2730165223365102E-6</v>
      </c>
    </row>
    <row r="30" spans="1:10" x14ac:dyDescent="0.35">
      <c r="A30" s="2" t="s">
        <v>102</v>
      </c>
      <c r="B30" s="2">
        <f>B12</f>
        <v>17.683612916684254</v>
      </c>
      <c r="C30" s="24">
        <f t="shared" si="0"/>
        <v>1.7683612916684254E-2</v>
      </c>
      <c r="D30" s="2">
        <v>1.1145</v>
      </c>
      <c r="E30" s="2">
        <f t="shared" si="5"/>
        <v>1.9708386595644601E-2</v>
      </c>
      <c r="F30" s="2">
        <v>0</v>
      </c>
      <c r="G30" s="2">
        <f t="shared" si="6"/>
        <v>5.1358440331006002E-7</v>
      </c>
      <c r="H30" s="2">
        <f t="shared" si="2"/>
        <v>0</v>
      </c>
      <c r="I30" s="2">
        <f t="shared" si="3"/>
        <v>0</v>
      </c>
      <c r="J30" s="2">
        <f t="shared" si="4"/>
        <v>5.1358440331006002E-7</v>
      </c>
    </row>
    <row r="31" spans="1:10" x14ac:dyDescent="0.35">
      <c r="A31" s="2" t="s">
        <v>103</v>
      </c>
      <c r="B31" s="2">
        <f>B12+3</f>
        <v>20.683612916684254</v>
      </c>
      <c r="C31" s="24">
        <f t="shared" si="0"/>
        <v>2.0683612916684253E-2</v>
      </c>
      <c r="D31" s="2">
        <v>1.6479999999999999</v>
      </c>
      <c r="E31" s="2">
        <f t="shared" si="5"/>
        <v>3.4086594086695648E-2</v>
      </c>
      <c r="F31" s="2">
        <v>0</v>
      </c>
      <c r="G31" s="2">
        <f t="shared" si="6"/>
        <v>1.2152207206343983E-6</v>
      </c>
      <c r="H31" s="2">
        <f t="shared" si="2"/>
        <v>0</v>
      </c>
      <c r="I31" s="2">
        <f t="shared" si="3"/>
        <v>0</v>
      </c>
      <c r="J31" s="2">
        <f t="shared" si="4"/>
        <v>1.2152207206343983E-6</v>
      </c>
    </row>
    <row r="32" spans="1:10" x14ac:dyDescent="0.35">
      <c r="A32" s="2" t="s">
        <v>104</v>
      </c>
      <c r="B32" s="2">
        <f>A14</f>
        <v>15.915251625015829</v>
      </c>
      <c r="C32" s="24">
        <f t="shared" si="0"/>
        <v>1.5915251625015829E-2</v>
      </c>
      <c r="D32" s="2">
        <v>1.49</v>
      </c>
      <c r="E32" s="2">
        <f t="shared" si="5"/>
        <v>2.3713724921273584E-2</v>
      </c>
      <c r="F32" s="2">
        <v>0.745</v>
      </c>
      <c r="G32" s="2">
        <f>(C32*D32^3)/12</f>
        <v>4.3872367248099569E-3</v>
      </c>
      <c r="H32" s="2">
        <f t="shared" si="2"/>
        <v>1.766672506634882E-2</v>
      </c>
      <c r="I32" s="2">
        <f t="shared" si="3"/>
        <v>1.316171017442987E-2</v>
      </c>
      <c r="J32" s="2">
        <f t="shared" si="4"/>
        <v>1.7548946899239828E-2</v>
      </c>
    </row>
    <row r="33" spans="1:10" x14ac:dyDescent="0.35">
      <c r="A33" s="2" t="s">
        <v>105</v>
      </c>
      <c r="B33" s="23">
        <f>F12</f>
        <v>22.988696791689531</v>
      </c>
      <c r="C33" s="24">
        <f t="shared" si="0"/>
        <v>2.2988696791689533E-2</v>
      </c>
      <c r="D33" s="2">
        <v>2.7625000000000002</v>
      </c>
      <c r="E33" s="2">
        <f t="shared" si="5"/>
        <v>6.3506274887042344E-2</v>
      </c>
      <c r="F33" s="2">
        <v>1.49</v>
      </c>
      <c r="G33" s="2">
        <f t="shared" si="6"/>
        <v>2.7968172995733141E-6</v>
      </c>
      <c r="H33" s="2">
        <f t="shared" si="2"/>
        <v>9.4624349581693093E-2</v>
      </c>
      <c r="I33" s="2">
        <f t="shared" si="3"/>
        <v>0.14099028087672272</v>
      </c>
      <c r="J33" s="2">
        <f t="shared" si="4"/>
        <v>0.14099307769402228</v>
      </c>
    </row>
    <row r="34" spans="1:10" x14ac:dyDescent="0.35">
      <c r="A34" s="2" t="s">
        <v>106</v>
      </c>
      <c r="B34" s="23">
        <f>F12</f>
        <v>22.988696791689531</v>
      </c>
      <c r="C34" s="24">
        <f t="shared" si="0"/>
        <v>2.2988696791689533E-2</v>
      </c>
      <c r="D34" s="2">
        <v>2.7625000000000002</v>
      </c>
      <c r="E34" s="2">
        <f t="shared" si="5"/>
        <v>6.3506274887042344E-2</v>
      </c>
      <c r="F34" s="2">
        <v>1.49</v>
      </c>
      <c r="G34" s="2">
        <f t="shared" si="6"/>
        <v>2.7968172995733141E-6</v>
      </c>
      <c r="H34" s="2">
        <f t="shared" si="2"/>
        <v>9.4624349581693093E-2</v>
      </c>
      <c r="I34" s="2">
        <f t="shared" si="3"/>
        <v>0.14099028087672272</v>
      </c>
      <c r="J34" s="2">
        <f t="shared" si="4"/>
        <v>0.14099307769402228</v>
      </c>
    </row>
    <row r="35" spans="1:10" x14ac:dyDescent="0.35">
      <c r="A35" s="2" t="s">
        <v>107</v>
      </c>
      <c r="B35" s="23">
        <f>F12</f>
        <v>22.988696791689531</v>
      </c>
      <c r="C35" s="24">
        <f t="shared" si="0"/>
        <v>2.2988696791689533E-2</v>
      </c>
      <c r="D35" s="2">
        <v>2.7625000000000002</v>
      </c>
      <c r="E35" s="2">
        <f t="shared" si="5"/>
        <v>6.3506274887042344E-2</v>
      </c>
      <c r="F35" s="2">
        <v>1.49</v>
      </c>
      <c r="G35" s="2">
        <f t="shared" si="6"/>
        <v>2.7968172995733141E-6</v>
      </c>
      <c r="H35" s="2">
        <f t="shared" si="2"/>
        <v>9.4624349581693093E-2</v>
      </c>
      <c r="I35" s="2">
        <f t="shared" si="3"/>
        <v>0.14099028087672272</v>
      </c>
      <c r="J35" s="2">
        <f t="shared" si="4"/>
        <v>0.14099307769402228</v>
      </c>
    </row>
    <row r="36" spans="1:10" x14ac:dyDescent="0.35">
      <c r="A36" s="2" t="s">
        <v>108</v>
      </c>
      <c r="B36" s="23">
        <f>F12</f>
        <v>22.988696791689531</v>
      </c>
      <c r="C36" s="24">
        <f t="shared" si="0"/>
        <v>2.2988696791689533E-2</v>
      </c>
      <c r="D36" s="2">
        <v>2.7625000000000002</v>
      </c>
      <c r="E36" s="2">
        <f t="shared" si="5"/>
        <v>6.3506274887042344E-2</v>
      </c>
      <c r="F36" s="2">
        <v>1.49</v>
      </c>
      <c r="G36" s="2">
        <f t="shared" si="6"/>
        <v>2.7968172995733141E-6</v>
      </c>
      <c r="H36" s="2">
        <f t="shared" si="2"/>
        <v>9.4624349581693093E-2</v>
      </c>
      <c r="I36" s="2">
        <f t="shared" si="3"/>
        <v>0.14099028087672272</v>
      </c>
      <c r="J36" s="2">
        <f t="shared" si="4"/>
        <v>0.14099307769402228</v>
      </c>
    </row>
    <row r="37" spans="1:10" x14ac:dyDescent="0.35">
      <c r="A37" s="2" t="s">
        <v>109</v>
      </c>
      <c r="B37" s="2">
        <f>F14</f>
        <v>10</v>
      </c>
      <c r="C37" s="24">
        <f t="shared" si="0"/>
        <v>0.01</v>
      </c>
      <c r="D37" s="2">
        <v>5.36</v>
      </c>
      <c r="E37" s="2">
        <f t="shared" si="5"/>
        <v>5.3600000000000002E-2</v>
      </c>
      <c r="F37" s="2">
        <v>4.17</v>
      </c>
      <c r="G37" s="2">
        <f>(C37*D37^3)/12</f>
        <v>0.12832554666666671</v>
      </c>
      <c r="H37" s="2">
        <f t="shared" si="2"/>
        <v>0.22351200000000002</v>
      </c>
      <c r="I37" s="2">
        <f t="shared" si="3"/>
        <v>0.93204503999999999</v>
      </c>
      <c r="J37" s="2">
        <f t="shared" si="4"/>
        <v>1.0603705866666666</v>
      </c>
    </row>
    <row r="38" spans="1:10" x14ac:dyDescent="0.35">
      <c r="A38" s="2" t="s">
        <v>110</v>
      </c>
      <c r="B38" s="2">
        <f>F14</f>
        <v>10</v>
      </c>
      <c r="C38" s="24">
        <f t="shared" si="0"/>
        <v>0.01</v>
      </c>
      <c r="D38" s="2">
        <v>4.1100000000000003</v>
      </c>
      <c r="E38" s="2">
        <f t="shared" si="5"/>
        <v>4.1100000000000005E-2</v>
      </c>
      <c r="F38" s="2">
        <v>8.9049999999999994</v>
      </c>
      <c r="G38" s="2">
        <f>(C38*D38^3)/12</f>
        <v>5.7855442500000014E-2</v>
      </c>
      <c r="H38" s="2">
        <f t="shared" si="2"/>
        <v>0.36599550000000003</v>
      </c>
      <c r="I38" s="2">
        <f t="shared" si="3"/>
        <v>3.2591899274999996</v>
      </c>
      <c r="J38" s="2">
        <f t="shared" si="4"/>
        <v>3.3170453699999998</v>
      </c>
    </row>
    <row r="39" spans="1:10" x14ac:dyDescent="0.35">
      <c r="A39" s="2" t="s">
        <v>19</v>
      </c>
      <c r="B39" s="2">
        <f>F14</f>
        <v>10</v>
      </c>
      <c r="C39" s="24">
        <f t="shared" si="0"/>
        <v>0.01</v>
      </c>
      <c r="D39" s="2">
        <v>2.74</v>
      </c>
      <c r="E39" s="2">
        <f t="shared" si="5"/>
        <v>2.7400000000000004E-2</v>
      </c>
      <c r="F39" s="2">
        <v>12.33</v>
      </c>
      <c r="G39" s="2">
        <f>(C39*D39^3)/12</f>
        <v>1.7142353333333339E-2</v>
      </c>
      <c r="H39" s="2">
        <f t="shared" si="2"/>
        <v>0.33784200000000003</v>
      </c>
      <c r="I39" s="2">
        <f t="shared" si="3"/>
        <v>4.1655918600000001</v>
      </c>
      <c r="J39" s="2">
        <f t="shared" si="4"/>
        <v>4.1827342133333332</v>
      </c>
    </row>
    <row r="40" spans="1:10" x14ac:dyDescent="0.35">
      <c r="A40" s="2" t="s">
        <v>111</v>
      </c>
      <c r="B40" s="2">
        <f>A12</f>
        <v>15.145201121893155</v>
      </c>
      <c r="C40" s="24">
        <f t="shared" si="0"/>
        <v>1.5145201121893156E-2</v>
      </c>
      <c r="D40" s="2">
        <v>0.8</v>
      </c>
      <c r="E40" s="2">
        <f t="shared" si="5"/>
        <v>1.2116160897514525E-2</v>
      </c>
      <c r="F40" s="2">
        <v>13.7</v>
      </c>
      <c r="G40" s="2">
        <f t="shared" si="6"/>
        <v>2.3159750467114693E-7</v>
      </c>
      <c r="H40" s="2">
        <f t="shared" si="2"/>
        <v>0.165991404295949</v>
      </c>
      <c r="I40" s="2">
        <f t="shared" si="3"/>
        <v>2.274082238854501</v>
      </c>
      <c r="J40" s="2">
        <f t="shared" si="4"/>
        <v>2.2740824704520057</v>
      </c>
    </row>
    <row r="41" spans="1:10" x14ac:dyDescent="0.35">
      <c r="A41" s="2" t="s">
        <v>112</v>
      </c>
      <c r="B41" s="23">
        <f>E12</f>
        <v>19.688761458461101</v>
      </c>
      <c r="C41" s="24">
        <f t="shared" si="0"/>
        <v>1.9688761458461101E-2</v>
      </c>
      <c r="D41" s="2">
        <v>1.2</v>
      </c>
      <c r="E41" s="2">
        <f t="shared" si="5"/>
        <v>2.362651375015332E-2</v>
      </c>
      <c r="F41" s="2">
        <v>13.7</v>
      </c>
      <c r="G41" s="2">
        <f t="shared" si="6"/>
        <v>7.6322957664376472E-7</v>
      </c>
      <c r="H41" s="2">
        <f t="shared" si="2"/>
        <v>0.32368323837710045</v>
      </c>
      <c r="I41" s="2">
        <f t="shared" si="3"/>
        <v>4.4344603657662756</v>
      </c>
      <c r="J41" s="2">
        <f t="shared" si="4"/>
        <v>4.434461128995852</v>
      </c>
    </row>
    <row r="42" spans="1:10" x14ac:dyDescent="0.35">
      <c r="A42" s="2" t="s">
        <v>113</v>
      </c>
      <c r="B42" s="2">
        <f>A12</f>
        <v>15.145201121893155</v>
      </c>
      <c r="C42" s="24">
        <f t="shared" si="0"/>
        <v>1.5145201121893156E-2</v>
      </c>
      <c r="D42" s="2">
        <v>11.05</v>
      </c>
      <c r="E42" s="2">
        <f t="shared" si="5"/>
        <v>0.16735447239691939</v>
      </c>
      <c r="F42" s="2">
        <v>13.7</v>
      </c>
      <c r="G42" s="2">
        <f t="shared" si="6"/>
        <v>3.198940533270217E-6</v>
      </c>
      <c r="H42" s="2">
        <f t="shared" si="2"/>
        <v>2.2927562718377956</v>
      </c>
      <c r="I42" s="2">
        <f t="shared" si="3"/>
        <v>31.410760924177794</v>
      </c>
      <c r="J42" s="2">
        <f t="shared" si="4"/>
        <v>31.410764123118327</v>
      </c>
    </row>
    <row r="43" spans="1:10" x14ac:dyDescent="0.35">
      <c r="A43" s="2" t="s">
        <v>114</v>
      </c>
      <c r="B43" s="2">
        <f>C14</f>
        <v>21.220335500021104</v>
      </c>
      <c r="C43" s="24">
        <f t="shared" si="0"/>
        <v>2.1220335500021104E-2</v>
      </c>
      <c r="D43" s="2">
        <v>2</v>
      </c>
      <c r="E43" s="2">
        <f t="shared" si="5"/>
        <v>4.2440671000042209E-2</v>
      </c>
      <c r="F43" s="2">
        <v>10.96</v>
      </c>
      <c r="G43" s="2">
        <f t="shared" si="6"/>
        <v>1.5925955117447888E-6</v>
      </c>
      <c r="H43" s="2">
        <f t="shared" si="2"/>
        <v>0.46514975416046267</v>
      </c>
      <c r="I43" s="2">
        <f t="shared" si="3"/>
        <v>5.0980413055986711</v>
      </c>
      <c r="J43" s="2">
        <f t="shared" si="4"/>
        <v>5.0980428981941825</v>
      </c>
    </row>
    <row r="44" spans="1:10" x14ac:dyDescent="0.35">
      <c r="A44" s="2" t="s">
        <v>115</v>
      </c>
      <c r="B44" s="2">
        <f>C14</f>
        <v>21.220335500021104</v>
      </c>
      <c r="C44" s="24">
        <f t="shared" si="0"/>
        <v>2.1220335500021104E-2</v>
      </c>
      <c r="D44" s="2">
        <v>2</v>
      </c>
      <c r="E44" s="2">
        <f t="shared" si="5"/>
        <v>4.2440671000042209E-2</v>
      </c>
      <c r="F44" s="2">
        <v>6.85</v>
      </c>
      <c r="G44" s="2">
        <f t="shared" si="6"/>
        <v>1.5925955117447888E-6</v>
      </c>
      <c r="H44" s="2">
        <f t="shared" si="2"/>
        <v>0.29071859635028913</v>
      </c>
      <c r="I44" s="2">
        <f t="shared" si="3"/>
        <v>1.9914223849994801</v>
      </c>
      <c r="J44" s="2">
        <f t="shared" si="4"/>
        <v>1.9914239775949918</v>
      </c>
    </row>
    <row r="45" spans="1:10" x14ac:dyDescent="0.35">
      <c r="A45" s="2" t="s">
        <v>116</v>
      </c>
      <c r="B45" s="2">
        <f>C14</f>
        <v>21.220335500021104</v>
      </c>
      <c r="C45" s="24">
        <f t="shared" si="0"/>
        <v>2.1220335500021104E-2</v>
      </c>
      <c r="D45" s="2">
        <v>2</v>
      </c>
      <c r="E45" s="2">
        <f t="shared" si="5"/>
        <v>4.2440671000042209E-2</v>
      </c>
      <c r="F45" s="2">
        <v>1.49</v>
      </c>
      <c r="G45" s="2">
        <f t="shared" si="6"/>
        <v>1.5925955117447888E-6</v>
      </c>
      <c r="H45" s="2">
        <f t="shared" si="2"/>
        <v>6.3236599790062895E-2</v>
      </c>
      <c r="I45" s="2">
        <f t="shared" si="3"/>
        <v>9.4222533687193702E-2</v>
      </c>
      <c r="J45" s="2">
        <f t="shared" si="4"/>
        <v>9.4224126282705448E-2</v>
      </c>
    </row>
    <row r="46" spans="1:10" x14ac:dyDescent="0.35">
      <c r="A46" s="2" t="s">
        <v>117</v>
      </c>
      <c r="B46" s="2">
        <f>B14</f>
        <v>17.683612916684254</v>
      </c>
      <c r="C46" s="24">
        <f t="shared" si="0"/>
        <v>1.7683612916684254E-2</v>
      </c>
      <c r="D46" s="2">
        <v>1.4781</v>
      </c>
      <c r="E46" s="2">
        <f t="shared" si="5"/>
        <v>2.6138148252150994E-2</v>
      </c>
      <c r="F46" s="2">
        <v>0.745</v>
      </c>
      <c r="G46" s="2">
        <f>(C46*D46^3)/12</f>
        <v>4.7588411120380531E-3</v>
      </c>
      <c r="H46" s="2">
        <f t="shared" si="2"/>
        <v>1.9472920447852492E-2</v>
      </c>
      <c r="I46" s="2">
        <f t="shared" si="3"/>
        <v>1.4507325733650106E-2</v>
      </c>
      <c r="J46" s="2">
        <f t="shared" si="4"/>
        <v>1.926616684568816E-2</v>
      </c>
    </row>
    <row r="47" spans="1:10" x14ac:dyDescent="0.35">
      <c r="A47" s="24" t="s">
        <v>118</v>
      </c>
      <c r="B47" s="2">
        <f>B14</f>
        <v>17.683612916684254</v>
      </c>
      <c r="C47" s="24">
        <f t="shared" si="0"/>
        <v>1.7683612916684254E-2</v>
      </c>
      <c r="D47" s="2">
        <v>1.49</v>
      </c>
      <c r="E47" s="2">
        <f t="shared" si="5"/>
        <v>2.6348583245859539E-2</v>
      </c>
      <c r="F47" s="2">
        <v>0.745</v>
      </c>
      <c r="G47" s="24">
        <f>(C47*D47^3)/12</f>
        <v>4.8747074720110637E-3</v>
      </c>
      <c r="H47" s="2">
        <f t="shared" si="2"/>
        <v>1.9629694518165357E-2</v>
      </c>
      <c r="I47" s="24">
        <f t="shared" si="3"/>
        <v>1.462412241603319E-2</v>
      </c>
      <c r="J47" s="2">
        <f t="shared" si="4"/>
        <v>1.9498829888044255E-2</v>
      </c>
    </row>
    <row r="48" spans="1:10" x14ac:dyDescent="0.35">
      <c r="A48" s="24" t="s">
        <v>119</v>
      </c>
      <c r="B48" s="2">
        <f>B14</f>
        <v>17.683612916684254</v>
      </c>
      <c r="C48" s="24">
        <f t="shared" si="0"/>
        <v>1.7683612916684254E-2</v>
      </c>
      <c r="D48" s="2">
        <v>1.49</v>
      </c>
      <c r="E48" s="2">
        <f t="shared" si="5"/>
        <v>2.6348583245859539E-2</v>
      </c>
      <c r="F48" s="2">
        <v>0.745</v>
      </c>
      <c r="G48" s="24">
        <f>(C48*D48^3)/12</f>
        <v>4.8747074720110637E-3</v>
      </c>
      <c r="H48" s="2">
        <f t="shared" si="2"/>
        <v>1.9629694518165357E-2</v>
      </c>
      <c r="I48" s="24">
        <f t="shared" si="3"/>
        <v>1.462412241603319E-2</v>
      </c>
      <c r="J48" s="2">
        <f t="shared" si="4"/>
        <v>1.9498829888044255E-2</v>
      </c>
    </row>
    <row r="49" spans="1:10" x14ac:dyDescent="0.35">
      <c r="A49" s="24" t="s">
        <v>120</v>
      </c>
      <c r="B49" s="2">
        <f>B14</f>
        <v>17.683612916684254</v>
      </c>
      <c r="C49" s="24">
        <f t="shared" si="0"/>
        <v>1.7683612916684254E-2</v>
      </c>
      <c r="D49" s="2">
        <v>1.49</v>
      </c>
      <c r="E49" s="2">
        <f t="shared" si="5"/>
        <v>2.6348583245859539E-2</v>
      </c>
      <c r="F49" s="2">
        <v>0.745</v>
      </c>
      <c r="G49" s="24">
        <f>(C49*D49^3)/12</f>
        <v>4.8747074720110637E-3</v>
      </c>
      <c r="H49" s="2">
        <f t="shared" si="2"/>
        <v>1.9629694518165357E-2</v>
      </c>
      <c r="I49" s="24">
        <f t="shared" si="3"/>
        <v>1.462412241603319E-2</v>
      </c>
      <c r="J49" s="2">
        <f t="shared" si="4"/>
        <v>1.9498829888044255E-2</v>
      </c>
    </row>
    <row r="50" spans="1:10" x14ac:dyDescent="0.35">
      <c r="A50" s="24" t="s">
        <v>122</v>
      </c>
      <c r="B50" s="2" t="s">
        <v>123</v>
      </c>
      <c r="C50" s="24" t="s">
        <v>123</v>
      </c>
      <c r="D50" s="2" t="s">
        <v>123</v>
      </c>
      <c r="E50" s="24">
        <f>SUM(E22:E49)</f>
        <v>1.247919345280766</v>
      </c>
      <c r="F50" s="2" t="s">
        <v>123</v>
      </c>
      <c r="G50" s="24" t="s">
        <v>123</v>
      </c>
      <c r="H50" s="2">
        <f>SUM(H22:H49)</f>
        <v>6.3675542609587037</v>
      </c>
      <c r="I50" s="2">
        <f>SUM(I22:I49)</f>
        <v>66.902532681273556</v>
      </c>
      <c r="J50" s="2">
        <f>SUM(J22:J49)</f>
        <v>67.806987280180138</v>
      </c>
    </row>
  </sheetData>
  <pageMargins left="0.7" right="0.7" top="0.75" bottom="0.75" header="0.3" footer="0.3"/>
  <pageSetup orientation="portrait" r:id="rId1"/>
  <ignoredErrors>
    <ignoredError sqref="G32 E26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7386-1AB1-4B01-A935-1FC5C78D1FEA}">
  <dimension ref="A1:X18"/>
  <sheetViews>
    <sheetView zoomScale="160" zoomScaleNormal="160" workbookViewId="0">
      <selection activeCell="J36" sqref="J36"/>
    </sheetView>
  </sheetViews>
  <sheetFormatPr defaultRowHeight="14.5" x14ac:dyDescent="0.35"/>
  <sheetData>
    <row r="1" spans="1:22" x14ac:dyDescent="0.35">
      <c r="A1" s="26" t="str" cm="1">
        <f t="array" ref="A1:L2">Prelude!A1:L2</f>
        <v>Dados Iniciais</v>
      </c>
      <c r="B1" s="26" t="str">
        <v>DWT/1000 [t]</v>
      </c>
      <c r="C1" s="26" t="str">
        <v>LBP [m]</v>
      </c>
      <c r="D1" s="26" t="str">
        <v>B [m]</v>
      </c>
      <c r="E1" s="26" t="str">
        <v>D [m]</v>
      </c>
      <c r="F1" s="26" t="str">
        <v>d [m]</v>
      </c>
      <c r="G1" s="26" t="str">
        <v>v [kn]</v>
      </c>
      <c r="H1" s="26" t="str">
        <v>dmin [m]</v>
      </c>
      <c r="I1" s="26" t="str">
        <v>Cb</v>
      </c>
      <c r="J1" s="26" t="str">
        <v>LCB</v>
      </c>
      <c r="K1" s="26" t="str">
        <v>n [crew]</v>
      </c>
      <c r="L1" s="26" t="str">
        <v>A [days]</v>
      </c>
    </row>
    <row r="2" spans="1:22" x14ac:dyDescent="0.35">
      <c r="A2" s="26">
        <v>0</v>
      </c>
      <c r="B2" s="1">
        <v>30</v>
      </c>
      <c r="C2" s="1">
        <v>187</v>
      </c>
      <c r="D2" s="1">
        <v>26.1</v>
      </c>
      <c r="E2" s="1">
        <v>13.7</v>
      </c>
      <c r="F2" s="1">
        <v>9.9</v>
      </c>
      <c r="G2" s="1">
        <v>16.5</v>
      </c>
      <c r="H2" s="1">
        <v>8</v>
      </c>
      <c r="I2" s="1">
        <v>0.77</v>
      </c>
      <c r="J2" s="1">
        <v>2.9000000000000001E-2</v>
      </c>
      <c r="K2" s="1">
        <v>22</v>
      </c>
      <c r="L2" s="1">
        <v>30</v>
      </c>
    </row>
    <row r="4" spans="1:22" x14ac:dyDescent="0.35">
      <c r="B4" s="331" t="s">
        <v>130</v>
      </c>
      <c r="C4" s="331" t="s">
        <v>123</v>
      </c>
      <c r="D4" s="331" t="s">
        <v>131</v>
      </c>
    </row>
    <row r="5" spans="1:22" x14ac:dyDescent="0.35">
      <c r="B5" s="113">
        <f>0.05*C2</f>
        <v>9.35</v>
      </c>
      <c r="C5" s="331" t="s">
        <v>126</v>
      </c>
      <c r="D5" s="113">
        <f>0.08*C2</f>
        <v>14.96</v>
      </c>
    </row>
    <row r="6" spans="1:22" x14ac:dyDescent="0.35">
      <c r="B6" s="113">
        <f>0.1*C2</f>
        <v>18.7</v>
      </c>
      <c r="C6" s="331" t="s">
        <v>127</v>
      </c>
      <c r="D6" s="113">
        <f>0.25*C2</f>
        <v>46.75</v>
      </c>
    </row>
    <row r="7" spans="1:22" x14ac:dyDescent="0.35">
      <c r="B7" s="1"/>
      <c r="C7" s="331" t="s">
        <v>127</v>
      </c>
      <c r="D7" s="2">
        <v>30</v>
      </c>
    </row>
    <row r="8" spans="1:22" x14ac:dyDescent="0.35">
      <c r="B8" s="1"/>
      <c r="C8" s="331" t="s">
        <v>127</v>
      </c>
      <c r="D8" s="2">
        <f>7+0.1*C2</f>
        <v>25.7</v>
      </c>
    </row>
    <row r="9" spans="1:22" x14ac:dyDescent="0.35">
      <c r="B9" s="113">
        <f>0.15*C2</f>
        <v>28.05</v>
      </c>
      <c r="C9" s="331" t="s">
        <v>128</v>
      </c>
      <c r="D9" s="113">
        <f>0.25*C2</f>
        <v>46.75</v>
      </c>
    </row>
    <row r="10" spans="1:22" x14ac:dyDescent="0.35">
      <c r="B10" s="113"/>
      <c r="C10" s="331" t="s">
        <v>129</v>
      </c>
      <c r="D10" s="113">
        <f>C2*0.05</f>
        <v>9.35</v>
      </c>
    </row>
    <row r="13" spans="1:22" x14ac:dyDescent="0.35">
      <c r="B13" s="349" t="s">
        <v>132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9"/>
      <c r="Q13" s="349"/>
      <c r="R13" s="349"/>
      <c r="S13" s="349"/>
      <c r="T13" s="349"/>
      <c r="U13" s="349"/>
      <c r="V13" s="349"/>
    </row>
    <row r="14" spans="1:22" x14ac:dyDescent="0.35">
      <c r="B14" s="332" t="s">
        <v>58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145</v>
      </c>
      <c r="P14" s="1" t="s">
        <v>146</v>
      </c>
      <c r="Q14" s="1" t="s">
        <v>147</v>
      </c>
      <c r="R14" s="1" t="s">
        <v>148</v>
      </c>
      <c r="S14" s="1" t="s">
        <v>149</v>
      </c>
      <c r="T14" s="1" t="s">
        <v>150</v>
      </c>
      <c r="U14" s="1" t="s">
        <v>151</v>
      </c>
      <c r="V14" s="1" t="s">
        <v>152</v>
      </c>
    </row>
    <row r="15" spans="1:22" x14ac:dyDescent="0.35">
      <c r="B15" s="332" t="s">
        <v>59</v>
      </c>
      <c r="C15" s="1">
        <f>D10</f>
        <v>9.35</v>
      </c>
      <c r="D15" s="1">
        <f>C15*2</f>
        <v>18.7</v>
      </c>
      <c r="E15" s="1">
        <f>C15*3</f>
        <v>28.049999999999997</v>
      </c>
      <c r="F15" s="1">
        <f>C15*4</f>
        <v>37.4</v>
      </c>
      <c r="G15" s="1">
        <f>C15*5</f>
        <v>46.75</v>
      </c>
      <c r="H15" s="1">
        <f>C15*6</f>
        <v>56.099999999999994</v>
      </c>
      <c r="I15" s="1">
        <f>C15*7</f>
        <v>65.45</v>
      </c>
      <c r="J15" s="1">
        <f>C15*8</f>
        <v>74.8</v>
      </c>
      <c r="K15" s="1">
        <f>C15*9</f>
        <v>84.149999999999991</v>
      </c>
      <c r="L15" s="1">
        <f>C15*10</f>
        <v>93.5</v>
      </c>
      <c r="M15" s="1">
        <f>C15*11</f>
        <v>102.85</v>
      </c>
      <c r="N15" s="1">
        <f>C15*12</f>
        <v>112.19999999999999</v>
      </c>
      <c r="O15" s="1">
        <f>C15*13</f>
        <v>121.55</v>
      </c>
      <c r="P15" s="1">
        <f>C15*14</f>
        <v>130.9</v>
      </c>
      <c r="Q15" s="1">
        <f>C15*15</f>
        <v>140.25</v>
      </c>
      <c r="R15" s="1">
        <f>C15*16</f>
        <v>149.6</v>
      </c>
      <c r="S15" s="1">
        <f>C15*17</f>
        <v>158.94999999999999</v>
      </c>
      <c r="T15" s="1">
        <f>C15*18</f>
        <v>168.29999999999998</v>
      </c>
      <c r="U15" s="1">
        <f>C15*19</f>
        <v>177.65</v>
      </c>
      <c r="V15" s="1">
        <f>C15*20</f>
        <v>187</v>
      </c>
    </row>
    <row r="16" spans="1:22" ht="16.5" x14ac:dyDescent="0.45">
      <c r="B16" s="332" t="s">
        <v>685</v>
      </c>
      <c r="C16" s="333" t="s">
        <v>153</v>
      </c>
      <c r="D16" s="345" t="s">
        <v>154</v>
      </c>
      <c r="E16" s="346"/>
      <c r="F16" s="346"/>
      <c r="G16" s="347" t="s">
        <v>189</v>
      </c>
      <c r="H16" s="348"/>
      <c r="I16" s="347" t="s">
        <v>190</v>
      </c>
      <c r="J16" s="348"/>
      <c r="K16" s="347" t="s">
        <v>191</v>
      </c>
      <c r="L16" s="348"/>
      <c r="M16" s="347" t="s">
        <v>192</v>
      </c>
      <c r="N16" s="348"/>
      <c r="O16" s="347" t="s">
        <v>193</v>
      </c>
      <c r="P16" s="348"/>
      <c r="Q16" s="347" t="s">
        <v>194</v>
      </c>
      <c r="R16" s="348"/>
      <c r="S16" s="347" t="s">
        <v>195</v>
      </c>
      <c r="T16" s="348"/>
      <c r="U16" s="174" t="s">
        <v>474</v>
      </c>
      <c r="V16" s="334" t="s">
        <v>155</v>
      </c>
    </row>
    <row r="17" spans="2:24" x14ac:dyDescent="0.35">
      <c r="B17" s="332" t="s">
        <v>684</v>
      </c>
      <c r="C17" s="1">
        <f>C15</f>
        <v>9.35</v>
      </c>
      <c r="D17" s="1">
        <f>F15-C15</f>
        <v>28.049999999999997</v>
      </c>
      <c r="E17" s="1"/>
      <c r="F17" s="1"/>
      <c r="G17" s="1">
        <f>I15-G15</f>
        <v>18.700000000000003</v>
      </c>
      <c r="H17" s="1"/>
      <c r="I17" s="1">
        <f>K15-I15</f>
        <v>18.699999999999989</v>
      </c>
      <c r="J17" s="1"/>
      <c r="K17" s="1">
        <f>M15-K15</f>
        <v>18.700000000000003</v>
      </c>
      <c r="L17" s="1"/>
      <c r="M17" s="1">
        <f>O15-M15</f>
        <v>18.700000000000003</v>
      </c>
      <c r="N17" s="1"/>
      <c r="O17" s="1">
        <f>Q15-O15</f>
        <v>18.700000000000003</v>
      </c>
      <c r="P17" s="1"/>
      <c r="Q17" s="1">
        <f>S15-Q15</f>
        <v>18.699999999999989</v>
      </c>
      <c r="R17" s="1"/>
      <c r="S17" s="1">
        <f>U15-S15</f>
        <v>18.700000000000017</v>
      </c>
      <c r="T17" s="1"/>
      <c r="U17" s="1">
        <f>V15-U15</f>
        <v>9.3499999999999943</v>
      </c>
      <c r="V17" s="1">
        <f>V15-U15</f>
        <v>9.3499999999999943</v>
      </c>
      <c r="X17" s="1">
        <f>SUM(C17:V17)</f>
        <v>186.99999999999997</v>
      </c>
    </row>
    <row r="18" spans="2:24" x14ac:dyDescent="0.35">
      <c r="B18" s="332" t="s">
        <v>683</v>
      </c>
      <c r="C18" s="1">
        <f>C17/$C$15</f>
        <v>1</v>
      </c>
      <c r="D18" s="343">
        <f>D17/$C$15</f>
        <v>3</v>
      </c>
      <c r="E18" s="344"/>
      <c r="F18" s="344"/>
      <c r="G18" s="113">
        <f>G17/$C$15</f>
        <v>2.0000000000000004</v>
      </c>
      <c r="H18" s="113"/>
      <c r="I18" s="113">
        <f>I17/$C$15</f>
        <v>1.9999999999999989</v>
      </c>
      <c r="J18" s="113"/>
      <c r="K18" s="113">
        <f>K17/$C$15</f>
        <v>2.0000000000000004</v>
      </c>
      <c r="L18" s="113">
        <f>L17/$C$15</f>
        <v>0</v>
      </c>
      <c r="M18" s="113">
        <f>M17/$C$15</f>
        <v>2.0000000000000004</v>
      </c>
      <c r="N18" s="113"/>
      <c r="O18" s="113">
        <f>O17/$C$15</f>
        <v>2.0000000000000004</v>
      </c>
      <c r="P18" s="113"/>
      <c r="Q18" s="113">
        <f>Q17/$C$15</f>
        <v>1.9999999999999989</v>
      </c>
      <c r="R18" s="113"/>
      <c r="S18" s="113">
        <f>S17/$C$15</f>
        <v>2.0000000000000018</v>
      </c>
      <c r="T18" s="113"/>
      <c r="U18" s="1">
        <f>U17/B5</f>
        <v>0.99999999999999944</v>
      </c>
      <c r="V18" s="1">
        <f>V17/C15</f>
        <v>0.99999999999999944</v>
      </c>
      <c r="X18" s="1">
        <f>SUM(C18:V18)</f>
        <v>20</v>
      </c>
    </row>
  </sheetData>
  <mergeCells count="10">
    <mergeCell ref="M16:N16"/>
    <mergeCell ref="O16:P16"/>
    <mergeCell ref="Q16:R16"/>
    <mergeCell ref="S16:T16"/>
    <mergeCell ref="B13:V13"/>
    <mergeCell ref="D18:F18"/>
    <mergeCell ref="D16:F16"/>
    <mergeCell ref="G16:H16"/>
    <mergeCell ref="I16:J16"/>
    <mergeCell ref="K16:L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7491-9621-4C59-B93A-C5E05A298242}">
  <sheetPr>
    <pageSetUpPr autoPageBreaks="0"/>
  </sheetPr>
  <dimension ref="B4:N82"/>
  <sheetViews>
    <sheetView topLeftCell="A20" zoomScale="70" zoomScaleNormal="70" workbookViewId="0">
      <selection activeCell="M65" sqref="M65"/>
    </sheetView>
  </sheetViews>
  <sheetFormatPr defaultRowHeight="14.5" x14ac:dyDescent="0.35"/>
  <cols>
    <col min="1" max="1" width="15.54296875" bestFit="1" customWidth="1"/>
    <col min="3" max="3" width="10" bestFit="1" customWidth="1"/>
    <col min="7" max="8" width="14.81640625" bestFit="1" customWidth="1"/>
    <col min="9" max="9" width="9" customWidth="1"/>
    <col min="10" max="10" width="10" bestFit="1" customWidth="1"/>
    <col min="12" max="12" width="10" bestFit="1" customWidth="1"/>
    <col min="20" max="20" width="9.1796875" customWidth="1"/>
    <col min="24" max="24" width="8.7265625" customWidth="1"/>
  </cols>
  <sheetData>
    <row r="4" spans="2:11" x14ac:dyDescent="0.35">
      <c r="D4" s="350" t="s">
        <v>518</v>
      </c>
      <c r="E4" s="351"/>
      <c r="F4" s="351"/>
      <c r="G4" s="351"/>
      <c r="H4" s="351"/>
      <c r="I4" s="351"/>
      <c r="J4" s="351"/>
      <c r="K4" s="352"/>
    </row>
    <row r="5" spans="2:11" x14ac:dyDescent="0.35">
      <c r="B5" s="8"/>
      <c r="C5" s="8"/>
      <c r="D5" s="350" t="s">
        <v>156</v>
      </c>
      <c r="E5" s="351"/>
      <c r="F5" s="351"/>
      <c r="G5" s="351"/>
      <c r="H5" s="351"/>
      <c r="I5" s="351"/>
      <c r="J5" s="351"/>
      <c r="K5" s="352"/>
    </row>
    <row r="6" spans="2:11" x14ac:dyDescent="0.35">
      <c r="B6" s="27" t="s">
        <v>58</v>
      </c>
      <c r="C6" s="27" t="s">
        <v>59</v>
      </c>
      <c r="D6" s="27" cm="1">
        <f t="array" ref="D6:K6">'OffSet da Hull'!Q32:X32</f>
        <v>0</v>
      </c>
      <c r="E6" s="27">
        <v>0.74250000000000005</v>
      </c>
      <c r="F6" s="27">
        <v>2.4750000000000001</v>
      </c>
      <c r="G6" s="27">
        <v>4.95</v>
      </c>
      <c r="H6" s="27">
        <v>7.4250000000000007</v>
      </c>
      <c r="I6" s="27">
        <v>9.9</v>
      </c>
      <c r="J6" s="27">
        <v>12.375</v>
      </c>
      <c r="K6" s="27">
        <v>13.7</v>
      </c>
    </row>
    <row r="7" spans="2:11" x14ac:dyDescent="0.35">
      <c r="B7" s="27" t="s">
        <v>38</v>
      </c>
      <c r="C7" s="27">
        <f>E29*0</f>
        <v>0</v>
      </c>
      <c r="D7" s="5">
        <f>0</f>
        <v>0</v>
      </c>
      <c r="E7" s="5">
        <f>D7+(('OffSet da Hull'!Q33+'OffSet da Hull'!R33)*($E$6-$D$6))/2</f>
        <v>0</v>
      </c>
      <c r="F7" s="5">
        <f>E7+(('OffSet da Hull'!R33+'OffSet da Hull'!S33)*($F$6-$E$6))/2</f>
        <v>0</v>
      </c>
      <c r="G7" s="5">
        <f>F7+(('OffSet da Hull'!S33+'OffSet da Hull'!T33)*($G$6-$F$6))/2</f>
        <v>0</v>
      </c>
      <c r="H7" s="5">
        <f>G7+(('OffSet da Hull'!T33+'OffSet da Hull'!U33)*($H$6-$G$6))/2</f>
        <v>0</v>
      </c>
      <c r="I7" s="5">
        <f>H7+(('OffSet da Hull'!U33+'OffSet da Hull'!V33)*($I$6-$H$6))/2</f>
        <v>1.3726968749999999</v>
      </c>
      <c r="J7" s="5">
        <f>I7+(('OffSet da Hull'!V33+'OffSet da Hull'!W33)*($J$6-$I$6))/2</f>
        <v>7.1057249999999996</v>
      </c>
      <c r="K7" s="5">
        <f>J7+(('OffSet da Hull'!W33+'OffSet da Hull'!X33)*($K$6-$J$6))/2</f>
        <v>12.491774715909088</v>
      </c>
    </row>
    <row r="8" spans="2:11" x14ac:dyDescent="0.35">
      <c r="B8" s="27">
        <v>1</v>
      </c>
      <c r="C8" s="27">
        <f>E29</f>
        <v>9.35</v>
      </c>
      <c r="D8" s="5">
        <f>0</f>
        <v>0</v>
      </c>
      <c r="E8" s="5">
        <f>D8+(('OffSet da Hull'!Q34+'OffSet da Hull'!R34)*($E$6-$D$6))/2</f>
        <v>0.50590821269012332</v>
      </c>
      <c r="F8" s="5">
        <f>E8+(('OffSet da Hull'!R34+'OffSet da Hull'!S34)*($F$6-$E$6))/2</f>
        <v>2.5302869567332502</v>
      </c>
      <c r="G8" s="5">
        <f>F8+(('OffSet da Hull'!S34+'OffSet da Hull'!T34)*($G$6-$F$6))/2</f>
        <v>6.1039431955641135</v>
      </c>
      <c r="H8" s="5">
        <f>G8+(('OffSet da Hull'!T34+'OffSet da Hull'!U34)*($H$6-$G$6))/2</f>
        <v>10.815608508407459</v>
      </c>
      <c r="I8" s="5">
        <f>H8+(('OffSet da Hull'!U34+'OffSet da Hull'!V34)*($I$6-$H$6))/2</f>
        <v>19.560888104837634</v>
      </c>
      <c r="J8" s="5">
        <f>I8+(('OffSet da Hull'!V34+'OffSet da Hull'!W34)*($J$6-$I$6))/2</f>
        <v>34.809088238577687</v>
      </c>
      <c r="K8" s="5">
        <f>J8+(('OffSet da Hull'!W34+'OffSet da Hull'!X34)*($K$6-$J$6))/2</f>
        <v>45.398405785952605</v>
      </c>
    </row>
    <row r="9" spans="2:11" x14ac:dyDescent="0.35">
      <c r="B9" s="27">
        <v>2</v>
      </c>
      <c r="C9" s="27">
        <f>C8+$E$29</f>
        <v>18.7</v>
      </c>
      <c r="D9" s="5">
        <f>0</f>
        <v>0</v>
      </c>
      <c r="E9" s="5">
        <f>D9+(('OffSet da Hull'!Q35+'OffSet da Hull'!R35)*($E$6-$D$6))/2</f>
        <v>1.4929411556083945</v>
      </c>
      <c r="F9" s="5">
        <f>E9+(('OffSet da Hull'!R35+'OffSet da Hull'!S35)*($F$6-$E$6))/2</f>
        <v>6.8562132245459502</v>
      </c>
      <c r="G9" s="5">
        <f>F9+(('OffSet da Hull'!S35+'OffSet da Hull'!T35)*($G$6-$F$6))/2</f>
        <v>16.555537455323449</v>
      </c>
      <c r="H9" s="5">
        <f>G9+(('OffSet da Hull'!T35+'OffSet da Hull'!U35)*($H$6-$G$6))/2</f>
        <v>29.071678645068026</v>
      </c>
      <c r="I9" s="5">
        <f>H9+(('OffSet da Hull'!U35+'OffSet da Hull'!V35)*($I$6-$H$6))/2</f>
        <v>46.327456145754709</v>
      </c>
      <c r="J9" s="5">
        <f>I9+(('OffSet da Hull'!V35+'OffSet da Hull'!W35)*($J$6-$I$6))/2</f>
        <v>68.951874576151965</v>
      </c>
      <c r="K9" s="5">
        <f>J9+(('OffSet da Hull'!W35+'OffSet da Hull'!X35)*($K$6-$J$6))/2</f>
        <v>82.755314398154852</v>
      </c>
    </row>
    <row r="10" spans="2:11" x14ac:dyDescent="0.35">
      <c r="B10" s="27">
        <v>3</v>
      </c>
      <c r="C10" s="27">
        <f t="shared" ref="C10:C27" si="0">C9+$E$29</f>
        <v>28.049999999999997</v>
      </c>
      <c r="D10" s="5">
        <f>0</f>
        <v>0</v>
      </c>
      <c r="E10" s="5">
        <f>D10+(('OffSet da Hull'!Q36+'OffSet da Hull'!R36)*($E$6-$D$6))/2</f>
        <v>2.9988334724097512</v>
      </c>
      <c r="F10" s="5">
        <f>E10+(('OffSet da Hull'!R36+'OffSet da Hull'!S36)*($F$6-$E$6))/2</f>
        <v>12.367459073209952</v>
      </c>
      <c r="G10" s="5">
        <f>F10+(('OffSet da Hull'!S36+'OffSet da Hull'!T36)*($G$6-$F$6))/2</f>
        <v>28.733250106876199</v>
      </c>
      <c r="H10" s="5">
        <f>G10+(('OffSet da Hull'!T36+'OffSet da Hull'!U36)*($H$6-$G$6))/2</f>
        <v>48.811532657335867</v>
      </c>
      <c r="I10" s="5">
        <f>H10+(('OffSet da Hull'!U36+'OffSet da Hull'!V36)*($I$6-$H$6))/2</f>
        <v>72.898906286138327</v>
      </c>
      <c r="J10" s="5">
        <f>I10+(('OffSet da Hull'!V36+'OffSet da Hull'!W36)*($J$6-$I$6))/2</f>
        <v>100.51648394290333</v>
      </c>
      <c r="K10" s="5">
        <f>J10+(('OffSet da Hull'!W36+'OffSet da Hull'!X36)*($K$6-$J$6))/2</f>
        <v>116.36103505382954</v>
      </c>
    </row>
    <row r="11" spans="2:11" x14ac:dyDescent="0.35">
      <c r="B11" s="27">
        <v>4</v>
      </c>
      <c r="C11" s="27">
        <f t="shared" si="0"/>
        <v>37.4</v>
      </c>
      <c r="D11" s="5">
        <f>0</f>
        <v>0</v>
      </c>
      <c r="E11" s="5">
        <f>D11+(('OffSet da Hull'!Q37+'OffSet da Hull'!R37)*($E$6-$D$6))/2</f>
        <v>4.7801975308144016</v>
      </c>
      <c r="F11" s="5">
        <f>E11+(('OffSet da Hull'!R37+'OffSet da Hull'!S37)*($F$6-$E$6))/2</f>
        <v>18.347372187040818</v>
      </c>
      <c r="G11" s="5">
        <f>F11+(('OffSet da Hull'!S37+'OffSet da Hull'!T37)*($G$6-$F$6))/2</f>
        <v>40.958925267364279</v>
      </c>
      <c r="H11" s="5">
        <f>G11+(('OffSet da Hull'!T37+'OffSet da Hull'!U37)*($H$6-$G$6))/2</f>
        <v>66.944876716456193</v>
      </c>
      <c r="I11" s="5">
        <f>H11+(('OffSet da Hull'!U37+'OffSet da Hull'!V37)*($I$6-$H$6))/2</f>
        <v>95.614122372613934</v>
      </c>
      <c r="J11" s="5">
        <f>I11+(('OffSet da Hull'!V37+'OffSet da Hull'!W37)*($J$6-$I$6))/2</f>
        <v>126.13476417177964</v>
      </c>
      <c r="K11" s="5">
        <f>J11+(('OffSet da Hull'!W37+'OffSet da Hull'!X37)*($K$6-$J$6))/2</f>
        <v>142.97891953516071</v>
      </c>
    </row>
    <row r="12" spans="2:11" x14ac:dyDescent="0.35">
      <c r="B12" s="27">
        <v>5</v>
      </c>
      <c r="C12" s="27">
        <f t="shared" si="0"/>
        <v>46.75</v>
      </c>
      <c r="D12" s="5">
        <f>0</f>
        <v>0</v>
      </c>
      <c r="E12" s="5">
        <f>D12+(('OffSet da Hull'!Q38+'OffSet da Hull'!R38)*($E$6-$D$6))/2</f>
        <v>6.324948482366155</v>
      </c>
      <c r="F12" s="5">
        <f>E12+(('OffSet da Hull'!R38+'OffSet da Hull'!S38)*($F$6-$E$6))/2</f>
        <v>23.664727406571572</v>
      </c>
      <c r="G12" s="5">
        <f>F12+(('OffSet da Hull'!S38+'OffSet da Hull'!T38)*($G$6-$F$6))/2</f>
        <v>51.205569328308194</v>
      </c>
      <c r="H12" s="5">
        <f>G12+(('OffSet da Hull'!T38+'OffSet da Hull'!U38)*($H$6-$G$6))/2</f>
        <v>81.040982838949489</v>
      </c>
      <c r="I12" s="5">
        <f>H12+(('OffSet da Hull'!U38+'OffSet da Hull'!V38)*($I$6-$H$6))/2</f>
        <v>112.21701719533425</v>
      </c>
      <c r="J12" s="5">
        <f>I12+(('OffSet da Hull'!V38+'OffSet da Hull'!W38)*($J$6-$I$6))/2</f>
        <v>144.10839724510723</v>
      </c>
      <c r="K12" s="5">
        <f>J12+(('OffSet da Hull'!W38+'OffSet da Hull'!X38)*($K$6-$J$6))/2</f>
        <v>161.2967185834141</v>
      </c>
    </row>
    <row r="13" spans="2:11" x14ac:dyDescent="0.35">
      <c r="B13" s="27">
        <v>6</v>
      </c>
      <c r="C13" s="27">
        <f t="shared" si="0"/>
        <v>56.1</v>
      </c>
      <c r="D13" s="5">
        <f>0</f>
        <v>0</v>
      </c>
      <c r="E13" s="5">
        <f>D13+(('OffSet da Hull'!Q39+'OffSet da Hull'!R39)*($E$6-$D$6))/2</f>
        <v>7.5936379904478208</v>
      </c>
      <c r="F13" s="5">
        <f>E13+(('OffSet da Hull'!R39+'OffSet da Hull'!S39)*($F$6-$E$6))/2</f>
        <v>27.651728233684068</v>
      </c>
      <c r="G13" s="5">
        <f>F13+(('OffSet da Hull'!S39+'OffSet da Hull'!T39)*($G$6-$F$6))/2</f>
        <v>58.279598737486538</v>
      </c>
      <c r="H13" s="5">
        <f>G13+(('OffSet da Hull'!T39+'OffSet da Hull'!U39)*($H$6-$G$6))/2</f>
        <v>90.060302289768032</v>
      </c>
      <c r="I13" s="5">
        <f>H13+(('OffSet da Hull'!U39+'OffSet da Hull'!V39)*($I$6-$H$6))/2</f>
        <v>122.10375853232193</v>
      </c>
      <c r="J13" s="5">
        <f>I13+(('OffSet da Hull'!V39+'OffSet da Hull'!W39)*($J$6-$I$6))/2</f>
        <v>154.31803219090875</v>
      </c>
      <c r="K13" s="5">
        <f>J13+(('OffSet da Hull'!W39+'OffSet da Hull'!X39)*($K$6-$J$6))/2</f>
        <v>171.60782004677114</v>
      </c>
    </row>
    <row r="14" spans="2:11" x14ac:dyDescent="0.35">
      <c r="B14" s="27">
        <v>7</v>
      </c>
      <c r="C14" s="27">
        <f t="shared" si="0"/>
        <v>65.45</v>
      </c>
      <c r="D14" s="5">
        <f>0</f>
        <v>0</v>
      </c>
      <c r="E14" s="5">
        <f>D14+(('OffSet da Hull'!Q40+'OffSet da Hull'!R40)*($E$6-$D$6))/2</f>
        <v>8.3923911675408505</v>
      </c>
      <c r="F14" s="5">
        <f>E14+(('OffSet da Hull'!R40+'OffSet da Hull'!S40)*($F$6-$E$6))/2</f>
        <v>30.009225245444721</v>
      </c>
      <c r="G14" s="5">
        <f>F14+(('OffSet da Hull'!S40+'OffSet da Hull'!T40)*($G$6-$F$6))/2</f>
        <v>61.87990544757298</v>
      </c>
      <c r="H14" s="5">
        <f>G14+(('OffSet da Hull'!T40+'OffSet da Hull'!U40)*($H$6-$G$6))/2</f>
        <v>94.109190862998645</v>
      </c>
      <c r="I14" s="5">
        <f>H14+(('OffSet da Hull'!U40+'OffSet da Hull'!V40)*($I$6-$H$6))/2</f>
        <v>126.40794086299864</v>
      </c>
      <c r="J14" s="5">
        <f>I14+(('OffSet da Hull'!V40+'OffSet da Hull'!W40)*($J$6-$I$6))/2</f>
        <v>158.70669086299864</v>
      </c>
      <c r="K14" s="5">
        <f>J14+(('OffSet da Hull'!W40+'OffSet da Hull'!X40)*($K$6-$J$6))/2</f>
        <v>175.99794086299863</v>
      </c>
    </row>
    <row r="15" spans="2:11" x14ac:dyDescent="0.35">
      <c r="B15" s="27">
        <v>8</v>
      </c>
      <c r="C15" s="27">
        <f t="shared" si="0"/>
        <v>74.8</v>
      </c>
      <c r="D15" s="5">
        <f>0</f>
        <v>0</v>
      </c>
      <c r="E15" s="5">
        <f>D15+(('OffSet da Hull'!Q41+'OffSet da Hull'!R41)*($E$6-$D$6))/2</f>
        <v>8.6014526723950251</v>
      </c>
      <c r="F15" s="5">
        <f>E15+(('OffSet da Hull'!R41+'OffSet da Hull'!S41)*($F$6-$E$6))/2</f>
        <v>30.609282283201672</v>
      </c>
      <c r="G15" s="5">
        <f>F15+(('OffSet da Hull'!S41+'OffSet da Hull'!T41)*($G$6-$F$6))/2</f>
        <v>62.831560687305789</v>
      </c>
      <c r="H15" s="5">
        <f>G15+(('OffSet da Hull'!T41+'OffSet da Hull'!U41)*($H$6-$G$6))/2</f>
        <v>95.130310687305794</v>
      </c>
      <c r="I15" s="5">
        <f>H15+(('OffSet da Hull'!U41+'OffSet da Hull'!V41)*($I$6-$H$6))/2</f>
        <v>127.42906068730579</v>
      </c>
      <c r="J15" s="5">
        <f>I15+(('OffSet da Hull'!V41+'OffSet da Hull'!W41)*($J$6-$I$6))/2</f>
        <v>159.72781068730581</v>
      </c>
      <c r="K15" s="5">
        <f>J15+(('OffSet da Hull'!W41+'OffSet da Hull'!X41)*($K$6-$J$6))/2</f>
        <v>177.0190606873058</v>
      </c>
    </row>
    <row r="16" spans="2:11" x14ac:dyDescent="0.35">
      <c r="B16" s="27">
        <v>9</v>
      </c>
      <c r="C16" s="27">
        <f t="shared" si="0"/>
        <v>84.149999999999991</v>
      </c>
      <c r="D16" s="5">
        <f>0</f>
        <v>0</v>
      </c>
      <c r="E16" s="5">
        <f>D16+(('OffSet da Hull'!Q42+'OffSet da Hull'!R42)*($E$6-$D$6))/2</f>
        <v>8.6063822740433782</v>
      </c>
      <c r="F16" s="5">
        <f>E16+(('OffSet da Hull'!R42+'OffSet da Hull'!S42)*($F$6-$E$6))/2</f>
        <v>30.637216692542331</v>
      </c>
      <c r="G16" s="5">
        <f>F16+(('OffSet da Hull'!S42+'OffSet da Hull'!T42)*($G$6-$F$6))/2</f>
        <v>62.875927102140956</v>
      </c>
      <c r="H16" s="5">
        <f>G16+(('OffSet da Hull'!T42+'OffSet da Hull'!U42)*($H$6-$G$6))/2</f>
        <v>95.174677102140961</v>
      </c>
      <c r="I16" s="5">
        <f>H16+(('OffSet da Hull'!U42+'OffSet da Hull'!V42)*($I$6-$H$6))/2</f>
        <v>127.47342710214096</v>
      </c>
      <c r="J16" s="5">
        <f>I16+(('OffSet da Hull'!V42+'OffSet da Hull'!W42)*($J$6-$I$6))/2</f>
        <v>159.77217710214097</v>
      </c>
      <c r="K16" s="5">
        <f>J16+(('OffSet da Hull'!W42+'OffSet da Hull'!X42)*($K$6-$J$6))/2</f>
        <v>177.06342710214096</v>
      </c>
    </row>
    <row r="17" spans="2:14" x14ac:dyDescent="0.35">
      <c r="B17" s="27">
        <v>10</v>
      </c>
      <c r="C17" s="27">
        <f t="shared" si="0"/>
        <v>93.499999999999986</v>
      </c>
      <c r="D17" s="5">
        <f>0</f>
        <v>0</v>
      </c>
      <c r="E17" s="5">
        <f>D17+(('OffSet da Hull'!Q43+'OffSet da Hull'!R43)*($E$6-$D$6))/2</f>
        <v>8.6113118756917313</v>
      </c>
      <c r="F17" s="5">
        <f>E17+(('OffSet da Hull'!R43+'OffSet da Hull'!S43)*($F$6-$E$6))/2</f>
        <v>30.665151101882991</v>
      </c>
      <c r="G17" s="5">
        <f>F17+(('OffSet da Hull'!S43+'OffSet da Hull'!T43)*($G$6-$F$6))/2</f>
        <v>62.920293516976116</v>
      </c>
      <c r="H17" s="5">
        <f>G17+(('OffSet da Hull'!T43+'OffSet da Hull'!U43)*($H$6-$G$6))/2</f>
        <v>95.219043516976114</v>
      </c>
      <c r="I17" s="5">
        <f>H17+(('OffSet da Hull'!U43+'OffSet da Hull'!V43)*($I$6-$H$6))/2</f>
        <v>127.51779351697611</v>
      </c>
      <c r="J17" s="5">
        <f>I17+(('OffSet da Hull'!V43+'OffSet da Hull'!W43)*($J$6-$I$6))/2</f>
        <v>159.81654351697611</v>
      </c>
      <c r="K17" s="5">
        <f>J17+(('OffSet da Hull'!W43+'OffSet da Hull'!X43)*($K$6-$J$6))/2</f>
        <v>177.1077935169761</v>
      </c>
    </row>
    <row r="18" spans="2:14" x14ac:dyDescent="0.35">
      <c r="B18" s="27">
        <v>11</v>
      </c>
      <c r="C18" s="27">
        <f t="shared" si="0"/>
        <v>102.84999999999998</v>
      </c>
      <c r="D18" s="5">
        <f>0</f>
        <v>0</v>
      </c>
      <c r="E18" s="5">
        <f>D18+(('OffSet da Hull'!Q44+'OffSet da Hull'!R44)*($E$6-$D$6))/2</f>
        <v>8.6162414773400826</v>
      </c>
      <c r="F18" s="5">
        <f>E18+(('OffSet da Hull'!R44+'OffSet da Hull'!S44)*($F$6-$E$6))/2</f>
        <v>30.693085511223654</v>
      </c>
      <c r="G18" s="5">
        <f>F18+(('OffSet da Hull'!S44+'OffSet da Hull'!T44)*($G$6-$F$6))/2</f>
        <v>62.964659931811283</v>
      </c>
      <c r="H18" s="5">
        <f>G18+(('OffSet da Hull'!T44+'OffSet da Hull'!U44)*($H$6-$G$6))/2</f>
        <v>95.263409931811282</v>
      </c>
      <c r="I18" s="5">
        <f>H18+(('OffSet da Hull'!U44+'OffSet da Hull'!V44)*($I$6-$H$6))/2</f>
        <v>127.56215993181128</v>
      </c>
      <c r="J18" s="5">
        <f>I18+(('OffSet da Hull'!V44+'OffSet da Hull'!W44)*($J$6-$I$6))/2</f>
        <v>159.86090993181128</v>
      </c>
      <c r="K18" s="5">
        <f>J18+(('OffSet da Hull'!W44+'OffSet da Hull'!X44)*($K$6-$J$6))/2</f>
        <v>177.15215993181127</v>
      </c>
    </row>
    <row r="19" spans="2:14" x14ac:dyDescent="0.35">
      <c r="B19" s="27">
        <v>12</v>
      </c>
      <c r="C19" s="27">
        <f t="shared" si="0"/>
        <v>112.19999999999997</v>
      </c>
      <c r="D19" s="5">
        <f>0</f>
        <v>0</v>
      </c>
      <c r="E19" s="5">
        <f>D19+(('OffSet da Hull'!Q45+'OffSet da Hull'!R45)*($E$6-$D$6))/2</f>
        <v>8.6211710789884322</v>
      </c>
      <c r="F19" s="5">
        <f>E19+(('OffSet da Hull'!R45+'OffSet da Hull'!S45)*($F$6-$E$6))/2</f>
        <v>30.721019920564309</v>
      </c>
      <c r="G19" s="5">
        <f>F19+(('OffSet da Hull'!S45+'OffSet da Hull'!T45)*($G$6-$F$6))/2</f>
        <v>63.009026346646451</v>
      </c>
      <c r="H19" s="5">
        <f>G19+(('OffSet da Hull'!T45+'OffSet da Hull'!U45)*($H$6-$G$6))/2</f>
        <v>95.307776346646449</v>
      </c>
      <c r="I19" s="5">
        <f>H19+(('OffSet da Hull'!U45+'OffSet da Hull'!V45)*($I$6-$H$6))/2</f>
        <v>127.60652634664645</v>
      </c>
      <c r="J19" s="5">
        <f>I19+(('OffSet da Hull'!V45+'OffSet da Hull'!W45)*($J$6-$I$6))/2</f>
        <v>159.90527634664645</v>
      </c>
      <c r="K19" s="5">
        <f>J19+(('OffSet da Hull'!W45+'OffSet da Hull'!X45)*($K$6-$J$6))/2</f>
        <v>177.19652634664644</v>
      </c>
    </row>
    <row r="20" spans="2:14" x14ac:dyDescent="0.35">
      <c r="B20" s="27">
        <v>13</v>
      </c>
      <c r="C20" s="27">
        <f t="shared" si="0"/>
        <v>121.54999999999997</v>
      </c>
      <c r="D20" s="5">
        <f>0</f>
        <v>0</v>
      </c>
      <c r="E20" s="5">
        <f>D20+(('OffSet da Hull'!Q46+'OffSet da Hull'!R46)*($E$6-$D$6))/2</f>
        <v>8.5216564391474972</v>
      </c>
      <c r="F20" s="5">
        <f>E20+(('OffSet da Hull'!R46+'OffSet da Hull'!S46)*($F$6-$E$6))/2</f>
        <v>30.444769221777968</v>
      </c>
      <c r="G20" s="5">
        <f>F20+(('OffSet da Hull'!S46+'OffSet da Hull'!T46)*($G$6-$F$6))/2</f>
        <v>62.606535605756243</v>
      </c>
      <c r="H20" s="5">
        <f>G20+(('OffSet da Hull'!T46+'OffSet da Hull'!U46)*($H$6-$G$6))/2</f>
        <v>94.871039701750817</v>
      </c>
      <c r="I20" s="5">
        <f>H20+(('OffSet da Hull'!U46+'OffSet da Hull'!V46)*($I$6-$H$6))/2</f>
        <v>127.16978970175082</v>
      </c>
      <c r="J20" s="5">
        <f>I20+(('OffSet da Hull'!V46+'OffSet da Hull'!W46)*($J$6-$I$6))/2</f>
        <v>159.46853970175081</v>
      </c>
      <c r="K20" s="5">
        <f>J20+(('OffSet da Hull'!W46+'OffSet da Hull'!X46)*($K$6-$J$6))/2</f>
        <v>176.7597897017508</v>
      </c>
    </row>
    <row r="21" spans="2:14" x14ac:dyDescent="0.35">
      <c r="B21" s="27">
        <v>14</v>
      </c>
      <c r="C21" s="27">
        <f t="shared" si="0"/>
        <v>130.89999999999998</v>
      </c>
      <c r="D21" s="5">
        <f>0</f>
        <v>0</v>
      </c>
      <c r="E21" s="5">
        <f>D21+(('OffSet da Hull'!Q47+'OffSet da Hull'!R47)*($E$6-$D$6))/2</f>
        <v>8.349359482403452</v>
      </c>
      <c r="F21" s="5">
        <f>E21+(('OffSet da Hull'!R47+'OffSet da Hull'!S47)*($F$6-$E$6))/2</f>
        <v>29.745427561288267</v>
      </c>
      <c r="G21" s="5">
        <f>F21+(('OffSet da Hull'!S47+'OffSet da Hull'!T47)*($G$6-$F$6))/2</f>
        <v>61.354220887255678</v>
      </c>
      <c r="H21" s="5">
        <f>G21+(('OffSet da Hull'!T47+'OffSet da Hull'!U47)*($H$6-$G$6))/2</f>
        <v>93.362527341379916</v>
      </c>
      <c r="I21" s="5">
        <f>H21+(('OffSet da Hull'!U47+'OffSet da Hull'!V47)*($I$6-$H$6))/2</f>
        <v>125.45158067050414</v>
      </c>
      <c r="J21" s="5">
        <f>I21+(('OffSet da Hull'!V47+'OffSet da Hull'!W47)*($J$6-$I$6))/2</f>
        <v>157.59305816734732</v>
      </c>
      <c r="K21" s="5">
        <f>J21+(('OffSet da Hull'!W47+'OffSet da Hull'!X47)*($K$6-$J$6))/2</f>
        <v>174.84320218541484</v>
      </c>
    </row>
    <row r="22" spans="2:14" x14ac:dyDescent="0.35">
      <c r="B22" s="27">
        <v>15</v>
      </c>
      <c r="C22" s="27">
        <f t="shared" si="0"/>
        <v>140.24999999999997</v>
      </c>
      <c r="D22" s="5">
        <f>0</f>
        <v>0</v>
      </c>
      <c r="E22" s="5">
        <f>D22+(('OffSet da Hull'!Q48+'OffSet da Hull'!R48)*($E$6-$D$6))/2</f>
        <v>7.6813557808917787</v>
      </c>
      <c r="F22" s="5">
        <f>E22+(('OffSet da Hull'!R48+'OffSet da Hull'!S48)*($F$6-$E$6))/2</f>
        <v>27.885564375099968</v>
      </c>
      <c r="G22" s="5">
        <f>F22+(('OffSet da Hull'!S48+'OffSet da Hull'!T48)*($G$6-$F$6))/2</f>
        <v>58.237062278613209</v>
      </c>
      <c r="H22" s="5">
        <f>G22+(('OffSet da Hull'!T48+'OffSet da Hull'!U48)*($H$6-$G$6))/2</f>
        <v>89.355451157856251</v>
      </c>
      <c r="I22" s="5">
        <f>H22+(('OffSet da Hull'!U48+'OffSet da Hull'!V48)*($I$6-$H$6))/2</f>
        <v>120.90759906926154</v>
      </c>
      <c r="J22" s="5">
        <f>I22+(('OffSet da Hull'!V48+'OffSet da Hull'!W48)*($J$6-$I$6))/2</f>
        <v>152.61109628709929</v>
      </c>
      <c r="K22" s="5">
        <f>J22+(('OffSet da Hull'!W48+'OffSet da Hull'!X48)*($K$6-$J$6))/2</f>
        <v>169.63248369646183</v>
      </c>
    </row>
    <row r="23" spans="2:14" x14ac:dyDescent="0.35">
      <c r="B23" s="27">
        <v>16</v>
      </c>
      <c r="C23" s="27">
        <f t="shared" si="0"/>
        <v>149.59999999999997</v>
      </c>
      <c r="D23" s="5">
        <f>0</f>
        <v>0</v>
      </c>
      <c r="E23" s="5">
        <f>D23+(('OffSet da Hull'!Q49+'OffSet da Hull'!R49)*($E$6-$D$6))/2</f>
        <v>6.4599977640389703</v>
      </c>
      <c r="F23" s="5">
        <f>E23+(('OffSet da Hull'!R49+'OffSet da Hull'!S49)*($F$6-$E$6))/2</f>
        <v>24.243619362521656</v>
      </c>
      <c r="G23" s="5">
        <f>F23+(('OffSet da Hull'!S49+'OffSet da Hull'!T49)*($G$6-$F$6))/2</f>
        <v>51.941432181683233</v>
      </c>
      <c r="H23" s="5">
        <f>G23+(('OffSet da Hull'!T49+'OffSet da Hull'!U49)*($H$6-$G$6))/2</f>
        <v>80.9552964612827</v>
      </c>
      <c r="I23" s="5">
        <f>H23+(('OffSet da Hull'!U49+'OffSet da Hull'!V49)*($I$6-$H$6))/2</f>
        <v>110.63923720132004</v>
      </c>
      <c r="J23" s="5">
        <f>I23+(('OffSet da Hull'!V49+'OffSet da Hull'!W49)*($J$6-$I$6))/2</f>
        <v>140.75904759694123</v>
      </c>
      <c r="K23" s="5">
        <f>J23+(('OffSet da Hull'!W49+'OffSet da Hull'!X49)*($K$6-$J$6))/2</f>
        <v>157.05518724378146</v>
      </c>
    </row>
    <row r="24" spans="2:14" x14ac:dyDescent="0.35">
      <c r="B24" s="27">
        <v>17</v>
      </c>
      <c r="C24" s="27">
        <f t="shared" si="0"/>
        <v>158.94999999999996</v>
      </c>
      <c r="D24" s="5">
        <f>0</f>
        <v>0</v>
      </c>
      <c r="E24" s="5">
        <f>D24+(('OffSet da Hull'!Q50+'OffSet da Hull'!R50)*($E$6-$D$6))/2</f>
        <v>4.8064953674236301</v>
      </c>
      <c r="F24" s="5">
        <f>E24+(('OffSet da Hull'!R50+'OffSet da Hull'!S50)*($F$6-$E$6))/2</f>
        <v>19.015882850850318</v>
      </c>
      <c r="G24" s="5">
        <f>F24+(('OffSet da Hull'!S50+'OffSet da Hull'!T50)*($G$6-$F$6))/2</f>
        <v>42.363508863579455</v>
      </c>
      <c r="H24" s="5">
        <f>G24+(('OffSet da Hull'!T50+'OffSet da Hull'!U50)*($H$6-$G$6))/2</f>
        <v>67.271537585168076</v>
      </c>
      <c r="I24" s="5">
        <f>H24+(('OffSet da Hull'!U50+'OffSet da Hull'!V50)*($I$6-$H$6))/2</f>
        <v>93.067781931756684</v>
      </c>
      <c r="J24" s="5">
        <f>I24+(('OffSet da Hull'!V50+'OffSet da Hull'!W50)*($J$6-$I$6))/2</f>
        <v>119.61696023720476</v>
      </c>
      <c r="K24" s="5">
        <f>J24+(('OffSet da Hull'!W50+'OffSet da Hull'!X50)*($K$6-$J$6))/2</f>
        <v>134.17849333047386</v>
      </c>
    </row>
    <row r="25" spans="2:14" x14ac:dyDescent="0.35">
      <c r="B25" s="27">
        <v>18</v>
      </c>
      <c r="C25" s="27">
        <f t="shared" si="0"/>
        <v>168.29999999999995</v>
      </c>
      <c r="D25" s="5">
        <f>0</f>
        <v>0</v>
      </c>
      <c r="E25" s="5">
        <f>D25+(('OffSet da Hull'!Q51+'OffSet da Hull'!R51)*($E$6-$D$6))/2</f>
        <v>3.1822168058706835</v>
      </c>
      <c r="F25" s="5">
        <f>E25+(('OffSet da Hull'!R51+'OffSet da Hull'!S51)*($F$6-$E$6))/2</f>
        <v>13.62292431049902</v>
      </c>
      <c r="G25" s="5">
        <f>F25+(('OffSet da Hull'!S51+'OffSet da Hull'!T51)*($G$6-$F$6))/2</f>
        <v>30.908202827963418</v>
      </c>
      <c r="H25" s="5">
        <f>G25+(('OffSet da Hull'!T51+'OffSet da Hull'!U51)*($H$6-$G$6))/2</f>
        <v>49.586467107562925</v>
      </c>
      <c r="I25" s="5">
        <f>H25+(('OffSet da Hull'!U51+'OffSet da Hull'!V51)*($I$6-$H$6))/2</f>
        <v>68.975385621870501</v>
      </c>
      <c r="J25" s="5">
        <f>I25+(('OffSet da Hull'!V51+'OffSet da Hull'!W51)*($J$6-$I$6))/2</f>
        <v>89.127382538605104</v>
      </c>
      <c r="K25" s="5">
        <f>J25+(('OffSet da Hull'!W51+'OffSet da Hull'!X51)*($K$6-$J$6))/2</f>
        <v>100.40217872749596</v>
      </c>
    </row>
    <row r="26" spans="2:14" x14ac:dyDescent="0.35">
      <c r="B26" s="27">
        <v>19</v>
      </c>
      <c r="C26" s="27">
        <f t="shared" si="0"/>
        <v>177.64999999999995</v>
      </c>
      <c r="D26" s="5">
        <f>0</f>
        <v>0</v>
      </c>
      <c r="E26" s="5">
        <f>D26+(('OffSet da Hull'!Q52+'OffSet da Hull'!R52)*($E$6-$D$6))/2</f>
        <v>1.4063846011150869</v>
      </c>
      <c r="F26" s="5">
        <f>E26+(('OffSet da Hull'!R52+'OffSet da Hull'!S52)*($F$6-$E$6))/2</f>
        <v>6.8387704181738576</v>
      </c>
      <c r="G26" s="5">
        <f>F26+(('OffSet da Hull'!S52+'OffSet da Hull'!T52)*($G$6-$F$6))/2</f>
        <v>16.109410749962802</v>
      </c>
      <c r="H26" s="5">
        <f>G26+(('OffSet da Hull'!T52+'OffSet da Hull'!U52)*($H$6-$G$6))/2</f>
        <v>26.090705316459836</v>
      </c>
      <c r="I26" s="5">
        <f>H26+(('OffSet da Hull'!U52+'OffSet da Hull'!V52)*($I$6-$H$6))/2</f>
        <v>36.51209078538389</v>
      </c>
      <c r="J26" s="5">
        <f>I26+(('OffSet da Hull'!V52+'OffSet da Hull'!W52)*($J$6-$I$6))/2</f>
        <v>47.660198129307943</v>
      </c>
      <c r="K26" s="5">
        <f>J26+(('OffSet da Hull'!W52+'OffSet da Hull'!X52)*($K$6-$J$6))/2</f>
        <v>54.165453512923847</v>
      </c>
    </row>
    <row r="27" spans="2:14" x14ac:dyDescent="0.35">
      <c r="B27" s="27" t="s">
        <v>36</v>
      </c>
      <c r="C27" s="27">
        <f t="shared" si="0"/>
        <v>186.99999999999994</v>
      </c>
      <c r="D27" s="5">
        <f>0</f>
        <v>0</v>
      </c>
      <c r="E27" s="5">
        <f>D27+(('OffSet da Hull'!Q53+'OffSet da Hull'!R53)*($E$6-$D$6))/2</f>
        <v>0</v>
      </c>
      <c r="F27" s="5">
        <f>E27+(('OffSet da Hull'!R53+'OffSet da Hull'!S53)*($F$6-$E$6))/2</f>
        <v>0</v>
      </c>
      <c r="G27" s="5">
        <f>F27+(('OffSet da Hull'!S53+'OffSet da Hull'!T53)*($G$6-$F$6))/2</f>
        <v>0</v>
      </c>
      <c r="H27" s="5">
        <f>G27+(('OffSet da Hull'!T53+'OffSet da Hull'!U53)*($H$6-$G$6))/2</f>
        <v>0</v>
      </c>
      <c r="I27" s="5">
        <f>H27+(('OffSet da Hull'!U53+'OffSet da Hull'!V53)*($I$6-$H$6))/2</f>
        <v>0</v>
      </c>
      <c r="J27" s="5">
        <f>I27+(('OffSet da Hull'!V53+'OffSet da Hull'!W53)*($J$6-$I$6))/2</f>
        <v>0.56522812499999997</v>
      </c>
      <c r="K27" s="5">
        <f>J27+(('OffSet da Hull'!W53+'OffSet da Hull'!X53)*($K$6-$J$6))/2</f>
        <v>1.3787028409090902</v>
      </c>
    </row>
    <row r="29" spans="2:14" x14ac:dyDescent="0.35">
      <c r="B29" s="356" t="s">
        <v>157</v>
      </c>
      <c r="C29" s="356"/>
      <c r="D29" s="356"/>
      <c r="E29" s="5">
        <f>'OffSet da Hull'!M10</f>
        <v>9.35</v>
      </c>
    </row>
    <row r="32" spans="2:14" x14ac:dyDescent="0.35">
      <c r="G32" s="350" t="s">
        <v>518</v>
      </c>
      <c r="H32" s="351"/>
      <c r="I32" s="351"/>
      <c r="J32" s="351"/>
      <c r="K32" s="351"/>
      <c r="L32" s="351"/>
      <c r="M32" s="351"/>
      <c r="N32" s="352"/>
    </row>
    <row r="33" spans="2:14" x14ac:dyDescent="0.35">
      <c r="E33" s="28"/>
      <c r="F33" s="28"/>
      <c r="G33" s="350" t="s">
        <v>178</v>
      </c>
      <c r="H33" s="351"/>
      <c r="I33" s="351"/>
      <c r="J33" s="351"/>
      <c r="K33" s="351"/>
      <c r="L33" s="351"/>
      <c r="M33" s="351"/>
      <c r="N33" s="352"/>
    </row>
    <row r="34" spans="2:14" x14ac:dyDescent="0.35">
      <c r="B34" s="27" t="s">
        <v>158</v>
      </c>
      <c r="C34" s="5">
        <f>$E$29*(K7+K8)/2</f>
        <v>270.63659384620343</v>
      </c>
      <c r="E34" s="27" t="s">
        <v>58</v>
      </c>
      <c r="F34" s="27" t="s">
        <v>59</v>
      </c>
      <c r="G34" s="27">
        <f>D6/$K$6</f>
        <v>0</v>
      </c>
      <c r="H34" s="27">
        <f t="shared" ref="H34:N34" si="1">E6/$K$6</f>
        <v>5.419708029197081E-2</v>
      </c>
      <c r="I34" s="27">
        <f t="shared" si="1"/>
        <v>0.18065693430656937</v>
      </c>
      <c r="J34" s="27">
        <f t="shared" si="1"/>
        <v>0.36131386861313874</v>
      </c>
      <c r="K34" s="27">
        <f t="shared" si="1"/>
        <v>0.54197080291970812</v>
      </c>
      <c r="L34" s="27">
        <f t="shared" si="1"/>
        <v>0.72262773722627749</v>
      </c>
      <c r="M34" s="27">
        <f t="shared" si="1"/>
        <v>0.90328467153284675</v>
      </c>
      <c r="N34" s="27">
        <f t="shared" si="1"/>
        <v>1</v>
      </c>
    </row>
    <row r="35" spans="2:14" x14ac:dyDescent="0.35">
      <c r="B35" s="27" t="s">
        <v>159</v>
      </c>
      <c r="C35" s="5">
        <f t="shared" ref="C35:C53" si="2">$E$29*(K8+K9)/2</f>
        <v>599.11864186070227</v>
      </c>
      <c r="E35" s="27" t="s">
        <v>38</v>
      </c>
      <c r="F35" s="27" cm="1">
        <f t="array" ref="F35:F55">C7:C27</f>
        <v>0</v>
      </c>
      <c r="G35" s="5">
        <f t="shared" ref="G35:M35" si="3">D7/$K$19</f>
        <v>0</v>
      </c>
      <c r="H35" s="5">
        <f t="shared" si="3"/>
        <v>0</v>
      </c>
      <c r="I35" s="5">
        <f t="shared" si="3"/>
        <v>0</v>
      </c>
      <c r="J35" s="5">
        <f t="shared" si="3"/>
        <v>0</v>
      </c>
      <c r="K35" s="5">
        <f t="shared" si="3"/>
        <v>0</v>
      </c>
      <c r="L35" s="5">
        <f t="shared" si="3"/>
        <v>7.7467482196271571E-3</v>
      </c>
      <c r="M35" s="5">
        <f t="shared" si="3"/>
        <v>4.0100814313364111E-2</v>
      </c>
      <c r="N35" s="5">
        <f>K7/$K$19</f>
        <v>7.0496724588560211E-2</v>
      </c>
    </row>
    <row r="36" spans="2:14" x14ac:dyDescent="0.35">
      <c r="B36" s="27" t="s">
        <v>160</v>
      </c>
      <c r="C36" s="5">
        <f t="shared" si="2"/>
        <v>930.86893368802691</v>
      </c>
      <c r="E36" s="27">
        <v>1</v>
      </c>
      <c r="F36" s="27">
        <v>9.35</v>
      </c>
      <c r="G36" s="5">
        <f t="shared" ref="G36:G55" si="4">D8/$K$19</f>
        <v>0</v>
      </c>
      <c r="H36" s="5">
        <f t="shared" ref="H36:H55" si="5">E8/$K$19</f>
        <v>2.8550684548997534E-3</v>
      </c>
      <c r="I36" s="5">
        <f t="shared" ref="I36:I55" si="6">F8/$K$19</f>
        <v>1.427955168705336E-2</v>
      </c>
      <c r="J36" s="5">
        <f t="shared" ref="J36:J55" si="7">G8/$K$19</f>
        <v>3.4447307300048746E-2</v>
      </c>
      <c r="K36" s="5">
        <f t="shared" ref="K36:K55" si="8">H8/$K$19</f>
        <v>6.10373619133429E-2</v>
      </c>
      <c r="L36" s="5">
        <f t="shared" ref="L36:L55" si="9">I8/$K$19</f>
        <v>0.11039092305100279</v>
      </c>
      <c r="M36" s="5">
        <f t="shared" ref="M36:N51" si="10">J8/$K$19</f>
        <v>0.1964434007610357</v>
      </c>
      <c r="N36" s="5">
        <f t="shared" si="10"/>
        <v>0.2562037006139754</v>
      </c>
    </row>
    <row r="37" spans="2:14" x14ac:dyDescent="0.35">
      <c r="B37" s="27" t="s">
        <v>161</v>
      </c>
      <c r="C37" s="5">
        <f t="shared" si="2"/>
        <v>1212.4142877035295</v>
      </c>
      <c r="E37" s="27">
        <v>2</v>
      </c>
      <c r="F37" s="27">
        <v>18.7</v>
      </c>
      <c r="G37" s="5">
        <f t="shared" si="4"/>
        <v>0</v>
      </c>
      <c r="H37" s="5">
        <f t="shared" si="5"/>
        <v>8.4253409837604827E-3</v>
      </c>
      <c r="I37" s="5">
        <f t="shared" si="6"/>
        <v>3.8692706713297872E-2</v>
      </c>
      <c r="J37" s="5">
        <f t="shared" si="7"/>
        <v>9.343037246077919E-2</v>
      </c>
      <c r="K37" s="5">
        <f t="shared" si="8"/>
        <v>0.16406460806232517</v>
      </c>
      <c r="L37" s="5">
        <f t="shared" si="9"/>
        <v>0.26144675124796252</v>
      </c>
      <c r="M37" s="5">
        <f t="shared" si="10"/>
        <v>0.38912655906844712</v>
      </c>
      <c r="N37" s="5">
        <f t="shared" ref="N37:N55" si="11">K9/$K$19</f>
        <v>0.4670256020496818</v>
      </c>
    </row>
    <row r="38" spans="2:14" x14ac:dyDescent="0.35">
      <c r="B38" s="27" t="s">
        <v>162</v>
      </c>
      <c r="C38" s="5">
        <f t="shared" si="2"/>
        <v>1422.4886082043372</v>
      </c>
      <c r="E38" s="27">
        <v>3</v>
      </c>
      <c r="F38" s="27">
        <v>28.049999999999997</v>
      </c>
      <c r="G38" s="5">
        <f t="shared" si="4"/>
        <v>0</v>
      </c>
      <c r="H38" s="5">
        <f t="shared" si="5"/>
        <v>1.6923771217406295E-2</v>
      </c>
      <c r="I38" s="5">
        <f t="shared" si="6"/>
        <v>6.9795155289984132E-2</v>
      </c>
      <c r="J38" s="5">
        <f t="shared" si="7"/>
        <v>0.16215470302541851</v>
      </c>
      <c r="K38" s="5">
        <f t="shared" si="8"/>
        <v>0.27546551652963402</v>
      </c>
      <c r="L38" s="5">
        <f t="shared" si="9"/>
        <v>0.41140144103912896</v>
      </c>
      <c r="M38" s="5">
        <f t="shared" si="10"/>
        <v>0.56725990071760612</v>
      </c>
      <c r="N38" s="5">
        <f t="shared" si="11"/>
        <v>0.65667785623627017</v>
      </c>
    </row>
    <row r="39" spans="2:14" x14ac:dyDescent="0.35">
      <c r="B39" s="27" t="s">
        <v>163</v>
      </c>
      <c r="C39" s="5">
        <f t="shared" si="2"/>
        <v>1556.3287180961161</v>
      </c>
      <c r="E39" s="27">
        <v>4</v>
      </c>
      <c r="F39" s="27">
        <v>37.4</v>
      </c>
      <c r="G39" s="5">
        <f t="shared" si="4"/>
        <v>0</v>
      </c>
      <c r="H39" s="5">
        <f t="shared" si="5"/>
        <v>2.6976812860670787E-2</v>
      </c>
      <c r="I39" s="5">
        <f t="shared" si="6"/>
        <v>0.10354250484091419</v>
      </c>
      <c r="J39" s="5">
        <f t="shared" si="7"/>
        <v>0.23114970768240151</v>
      </c>
      <c r="K39" s="5">
        <f t="shared" si="8"/>
        <v>0.37780016401389899</v>
      </c>
      <c r="L39" s="5">
        <f t="shared" si="9"/>
        <v>0.53959366102677264</v>
      </c>
      <c r="M39" s="5">
        <f t="shared" si="10"/>
        <v>0.71183542235486275</v>
      </c>
      <c r="N39" s="5">
        <f t="shared" si="11"/>
        <v>0.80689459597787816</v>
      </c>
    </row>
    <row r="40" spans="2:14" x14ac:dyDescent="0.35">
      <c r="B40" s="27" t="s">
        <v>164</v>
      </c>
      <c r="C40" s="5">
        <f t="shared" si="2"/>
        <v>1625.0569322531735</v>
      </c>
      <c r="E40" s="27">
        <v>5</v>
      </c>
      <c r="F40" s="27">
        <v>46.75</v>
      </c>
      <c r="G40" s="5">
        <f t="shared" si="4"/>
        <v>0</v>
      </c>
      <c r="H40" s="5">
        <f t="shared" si="5"/>
        <v>3.56945399143591E-2</v>
      </c>
      <c r="I40" s="5">
        <f t="shared" si="6"/>
        <v>0.13355074105841491</v>
      </c>
      <c r="J40" s="5">
        <f t="shared" si="7"/>
        <v>0.28897614633898433</v>
      </c>
      <c r="K40" s="5">
        <f t="shared" si="8"/>
        <v>0.45735085506366219</v>
      </c>
      <c r="L40" s="5">
        <f t="shared" si="9"/>
        <v>0.63329129249298077</v>
      </c>
      <c r="M40" s="5">
        <f t="shared" si="10"/>
        <v>0.81326874863895759</v>
      </c>
      <c r="N40" s="5">
        <f t="shared" si="11"/>
        <v>0.9102702062447442</v>
      </c>
    </row>
    <row r="41" spans="2:14" x14ac:dyDescent="0.35">
      <c r="B41" s="27" t="s">
        <v>165</v>
      </c>
      <c r="C41" s="5">
        <f t="shared" si="2"/>
        <v>1650.3544822476731</v>
      </c>
      <c r="E41" s="27">
        <v>6</v>
      </c>
      <c r="F41" s="27">
        <v>56.1</v>
      </c>
      <c r="G41" s="5">
        <f t="shared" si="4"/>
        <v>0</v>
      </c>
      <c r="H41" s="5">
        <f t="shared" si="5"/>
        <v>4.2854327604552024E-2</v>
      </c>
      <c r="I41" s="5">
        <f t="shared" si="6"/>
        <v>0.15605118680255323</v>
      </c>
      <c r="J41" s="5">
        <f t="shared" si="7"/>
        <v>0.32889808812321292</v>
      </c>
      <c r="K41" s="5">
        <f t="shared" si="8"/>
        <v>0.50825094682490923</v>
      </c>
      <c r="L41" s="5">
        <f t="shared" si="9"/>
        <v>0.6890866375870851</v>
      </c>
      <c r="M41" s="5">
        <f t="shared" si="10"/>
        <v>0.87088632814967892</v>
      </c>
      <c r="N41" s="5">
        <f t="shared" si="11"/>
        <v>0.96846040712478632</v>
      </c>
    </row>
    <row r="42" spans="2:14" x14ac:dyDescent="0.35">
      <c r="B42" s="27" t="s">
        <v>166</v>
      </c>
      <c r="C42" s="5">
        <f t="shared" si="2"/>
        <v>1655.3356304156634</v>
      </c>
      <c r="E42" s="27">
        <v>7</v>
      </c>
      <c r="F42" s="27">
        <v>65.45</v>
      </c>
      <c r="G42" s="5">
        <f t="shared" si="4"/>
        <v>0</v>
      </c>
      <c r="H42" s="5">
        <f t="shared" si="5"/>
        <v>4.7362052409102892E-2</v>
      </c>
      <c r="I42" s="5">
        <f t="shared" si="6"/>
        <v>0.169355606817812</v>
      </c>
      <c r="J42" s="5">
        <f t="shared" si="7"/>
        <v>0.3492162443778295</v>
      </c>
      <c r="K42" s="5">
        <f t="shared" si="8"/>
        <v>0.53110065306186927</v>
      </c>
      <c r="L42" s="5">
        <f t="shared" si="9"/>
        <v>0.71337708175897885</v>
      </c>
      <c r="M42" s="5">
        <f t="shared" si="10"/>
        <v>0.89565351045608843</v>
      </c>
      <c r="N42" s="5">
        <f t="shared" si="11"/>
        <v>0.99323584097070261</v>
      </c>
    </row>
    <row r="43" spans="2:14" x14ac:dyDescent="0.35">
      <c r="B43" s="27" t="s">
        <v>167</v>
      </c>
      <c r="C43" s="5">
        <f t="shared" si="2"/>
        <v>1655.7504563943723</v>
      </c>
      <c r="E43" s="27">
        <v>8</v>
      </c>
      <c r="F43" s="27">
        <v>74.8</v>
      </c>
      <c r="G43" s="5">
        <f t="shared" si="4"/>
        <v>0</v>
      </c>
      <c r="H43" s="5">
        <f t="shared" si="5"/>
        <v>4.8541880869426048E-2</v>
      </c>
      <c r="I43" s="5">
        <f t="shared" si="6"/>
        <v>0.17274199959948014</v>
      </c>
      <c r="J43" s="5">
        <f t="shared" si="7"/>
        <v>0.35458686455506194</v>
      </c>
      <c r="K43" s="5">
        <f t="shared" si="8"/>
        <v>0.53686329325217164</v>
      </c>
      <c r="L43" s="5">
        <f t="shared" si="9"/>
        <v>0.71913972194928122</v>
      </c>
      <c r="M43" s="5">
        <f t="shared" si="10"/>
        <v>0.9014161506463908</v>
      </c>
      <c r="N43" s="5">
        <f t="shared" si="11"/>
        <v>0.99899848116100498</v>
      </c>
    </row>
    <row r="44" spans="2:14" x14ac:dyDescent="0.35">
      <c r="B44" s="27" t="s">
        <v>168</v>
      </c>
      <c r="C44" s="5">
        <f t="shared" si="2"/>
        <v>1656.1652823730808</v>
      </c>
      <c r="E44" s="27">
        <v>9</v>
      </c>
      <c r="F44" s="27">
        <v>84.149999999999991</v>
      </c>
      <c r="G44" s="5">
        <f t="shared" si="4"/>
        <v>0</v>
      </c>
      <c r="H44" s="5">
        <f t="shared" si="5"/>
        <v>4.8569700837175919E-2</v>
      </c>
      <c r="I44" s="5">
        <f t="shared" si="6"/>
        <v>0.17289964608339606</v>
      </c>
      <c r="J44" s="5">
        <f t="shared" si="7"/>
        <v>0.35483724426481078</v>
      </c>
      <c r="K44" s="5">
        <f t="shared" si="8"/>
        <v>0.53711367296192036</v>
      </c>
      <c r="L44" s="5">
        <f t="shared" si="9"/>
        <v>0.71939010165902995</v>
      </c>
      <c r="M44" s="5">
        <f t="shared" si="10"/>
        <v>0.90166653035613964</v>
      </c>
      <c r="N44" s="5">
        <f t="shared" si="11"/>
        <v>0.99924886087075382</v>
      </c>
    </row>
    <row r="45" spans="2:14" x14ac:dyDescent="0.35">
      <c r="B45" s="27" t="s">
        <v>169</v>
      </c>
      <c r="C45" s="5">
        <f t="shared" si="2"/>
        <v>1656.5801083517897</v>
      </c>
      <c r="E45" s="27">
        <v>10</v>
      </c>
      <c r="F45" s="27">
        <v>93.499999999999986</v>
      </c>
      <c r="G45" s="5">
        <f t="shared" si="4"/>
        <v>0</v>
      </c>
      <c r="H45" s="5">
        <f t="shared" si="5"/>
        <v>4.8597520804925791E-2</v>
      </c>
      <c r="I45" s="5">
        <f t="shared" si="6"/>
        <v>0.17305729256731195</v>
      </c>
      <c r="J45" s="5">
        <f t="shared" si="7"/>
        <v>0.35508762397455951</v>
      </c>
      <c r="K45" s="5">
        <f t="shared" si="8"/>
        <v>0.53736405267166909</v>
      </c>
      <c r="L45" s="5">
        <f t="shared" si="9"/>
        <v>0.71964048136877867</v>
      </c>
      <c r="M45" s="5">
        <f t="shared" si="10"/>
        <v>0.90191691006588826</v>
      </c>
      <c r="N45" s="5">
        <f t="shared" si="11"/>
        <v>0.99949924058050243</v>
      </c>
    </row>
    <row r="46" spans="2:14" x14ac:dyDescent="0.35">
      <c r="B46" s="27" t="s">
        <v>170</v>
      </c>
      <c r="C46" s="5">
        <f t="shared" si="2"/>
        <v>1654.7457775262571</v>
      </c>
      <c r="E46" s="27">
        <v>11</v>
      </c>
      <c r="F46" s="27">
        <v>102.84999999999998</v>
      </c>
      <c r="G46" s="5">
        <f t="shared" si="4"/>
        <v>0</v>
      </c>
      <c r="H46" s="5">
        <f t="shared" si="5"/>
        <v>4.8625340772675656E-2</v>
      </c>
      <c r="I46" s="5">
        <f t="shared" si="6"/>
        <v>0.17321493905122787</v>
      </c>
      <c r="J46" s="5">
        <f t="shared" si="7"/>
        <v>0.35533800368430829</v>
      </c>
      <c r="K46" s="5">
        <f t="shared" si="8"/>
        <v>0.53761443238141793</v>
      </c>
      <c r="L46" s="5">
        <f t="shared" si="9"/>
        <v>0.71989086107852751</v>
      </c>
      <c r="M46" s="5">
        <f t="shared" si="10"/>
        <v>0.90216728977563698</v>
      </c>
      <c r="N46" s="5">
        <f t="shared" si="11"/>
        <v>0.99974962029025116</v>
      </c>
    </row>
    <row r="47" spans="2:14" x14ac:dyDescent="0.35">
      <c r="B47" s="27" t="s">
        <v>171</v>
      </c>
      <c r="C47" s="5">
        <f t="shared" si="2"/>
        <v>1643.7439870724995</v>
      </c>
      <c r="E47" s="27">
        <v>12</v>
      </c>
      <c r="F47" s="27">
        <v>112.19999999999997</v>
      </c>
      <c r="G47" s="5">
        <f t="shared" si="4"/>
        <v>0</v>
      </c>
      <c r="H47" s="5">
        <f t="shared" si="5"/>
        <v>4.8653160740425506E-2</v>
      </c>
      <c r="I47" s="5">
        <f t="shared" si="6"/>
        <v>0.17337258553514373</v>
      </c>
      <c r="J47" s="5">
        <f t="shared" si="7"/>
        <v>0.35558838339405707</v>
      </c>
      <c r="K47" s="5">
        <f t="shared" si="8"/>
        <v>0.53786481209116666</v>
      </c>
      <c r="L47" s="5">
        <f t="shared" si="9"/>
        <v>0.72014124078827624</v>
      </c>
      <c r="M47" s="5">
        <f t="shared" si="10"/>
        <v>0.90241766948538582</v>
      </c>
      <c r="N47" s="5">
        <f t="shared" si="11"/>
        <v>1</v>
      </c>
    </row>
    <row r="48" spans="2:14" x14ac:dyDescent="0.35">
      <c r="B48" s="27" t="s">
        <v>172</v>
      </c>
      <c r="C48" s="5">
        <f t="shared" si="2"/>
        <v>1610.4238314977733</v>
      </c>
      <c r="E48" s="27">
        <v>13</v>
      </c>
      <c r="F48" s="27">
        <v>121.54999999999997</v>
      </c>
      <c r="G48" s="5">
        <f t="shared" si="4"/>
        <v>0</v>
      </c>
      <c r="H48" s="5">
        <f t="shared" si="5"/>
        <v>4.809155469829432E-2</v>
      </c>
      <c r="I48" s="5">
        <f t="shared" si="6"/>
        <v>0.17181357811845252</v>
      </c>
      <c r="J48" s="5">
        <f t="shared" si="7"/>
        <v>0.35331694642410871</v>
      </c>
      <c r="K48" s="5">
        <f t="shared" si="8"/>
        <v>0.53540011002335497</v>
      </c>
      <c r="L48" s="5">
        <f t="shared" si="9"/>
        <v>0.71767653872046455</v>
      </c>
      <c r="M48" s="5">
        <f t="shared" si="10"/>
        <v>0.89995296741757413</v>
      </c>
      <c r="N48" s="5">
        <f t="shared" si="11"/>
        <v>0.99753529793218831</v>
      </c>
    </row>
    <row r="49" spans="2:14" x14ac:dyDescent="0.35">
      <c r="B49" s="27" t="s">
        <v>173</v>
      </c>
      <c r="C49" s="5">
        <f t="shared" si="2"/>
        <v>1527.2648616456372</v>
      </c>
      <c r="E49" s="27">
        <v>14</v>
      </c>
      <c r="F49" s="27">
        <v>130.89999999999998</v>
      </c>
      <c r="G49" s="5">
        <f t="shared" si="4"/>
        <v>0</v>
      </c>
      <c r="H49" s="5">
        <f t="shared" si="5"/>
        <v>4.7119205181650949E-2</v>
      </c>
      <c r="I49" s="5">
        <f t="shared" si="6"/>
        <v>0.1678668773850443</v>
      </c>
      <c r="J49" s="5">
        <f t="shared" si="7"/>
        <v>0.34624956906451709</v>
      </c>
      <c r="K49" s="5">
        <f t="shared" si="8"/>
        <v>0.52688689370093211</v>
      </c>
      <c r="L49" s="5">
        <f t="shared" si="9"/>
        <v>0.70797990940908984</v>
      </c>
      <c r="M49" s="5">
        <f t="shared" si="10"/>
        <v>0.88936877836448558</v>
      </c>
      <c r="N49" s="5">
        <f t="shared" si="11"/>
        <v>0.98671912926426208</v>
      </c>
    </row>
    <row r="50" spans="2:14" x14ac:dyDescent="0.35">
      <c r="B50" s="27" t="s">
        <v>174</v>
      </c>
      <c r="C50" s="5">
        <f t="shared" si="2"/>
        <v>1361.5174566846438</v>
      </c>
      <c r="E50" s="27">
        <v>15</v>
      </c>
      <c r="F50" s="27">
        <v>140.24999999999997</v>
      </c>
      <c r="G50" s="5">
        <f t="shared" si="4"/>
        <v>0</v>
      </c>
      <c r="H50" s="5">
        <f t="shared" si="5"/>
        <v>4.3349358699418736E-2</v>
      </c>
      <c r="I50" s="5">
        <f t="shared" si="6"/>
        <v>0.15737082972240624</v>
      </c>
      <c r="J50" s="5">
        <f t="shared" si="7"/>
        <v>0.32865803568115703</v>
      </c>
      <c r="K50" s="5">
        <f t="shared" si="8"/>
        <v>0.50427315365681469</v>
      </c>
      <c r="L50" s="5">
        <f t="shared" si="9"/>
        <v>0.68233616968727784</v>
      </c>
      <c r="M50" s="5">
        <f t="shared" si="10"/>
        <v>0.86125331818609629</v>
      </c>
      <c r="N50" s="5">
        <f t="shared" si="11"/>
        <v>0.95731269226244764</v>
      </c>
    </row>
    <row r="51" spans="2:14" x14ac:dyDescent="0.35">
      <c r="B51" s="27" t="s">
        <v>175</v>
      </c>
      <c r="C51" s="5">
        <f t="shared" si="2"/>
        <v>1096.6646418710088</v>
      </c>
      <c r="E51" s="27">
        <v>16</v>
      </c>
      <c r="F51" s="27">
        <v>149.59999999999997</v>
      </c>
      <c r="G51" s="5">
        <f t="shared" si="4"/>
        <v>0</v>
      </c>
      <c r="H51" s="5">
        <f t="shared" si="5"/>
        <v>3.6456683983755928E-2</v>
      </c>
      <c r="I51" s="5">
        <f t="shared" si="6"/>
        <v>0.13681768972769981</v>
      </c>
      <c r="J51" s="5">
        <f t="shared" si="7"/>
        <v>0.29312895265266725</v>
      </c>
      <c r="K51" s="5">
        <f t="shared" si="8"/>
        <v>0.45686728814825234</v>
      </c>
      <c r="L51" s="5">
        <f t="shared" si="9"/>
        <v>0.62438716764051261</v>
      </c>
      <c r="M51" s="5">
        <f t="shared" si="10"/>
        <v>0.79436685638846438</v>
      </c>
      <c r="N51" s="5">
        <f t="shared" si="11"/>
        <v>0.88633332990138403</v>
      </c>
    </row>
    <row r="52" spans="2:14" x14ac:dyDescent="0.35">
      <c r="B52" s="27" t="s">
        <v>176</v>
      </c>
      <c r="C52" s="5">
        <f t="shared" si="2"/>
        <v>722.60368072396261</v>
      </c>
      <c r="E52" s="27">
        <v>17</v>
      </c>
      <c r="F52" s="27">
        <v>158.94999999999996</v>
      </c>
      <c r="G52" s="5">
        <f t="shared" si="4"/>
        <v>0</v>
      </c>
      <c r="H52" s="5">
        <f t="shared" si="5"/>
        <v>2.7125223425772851E-2</v>
      </c>
      <c r="I52" s="5">
        <f t="shared" si="6"/>
        <v>0.10731521234027964</v>
      </c>
      <c r="J52" s="5">
        <f t="shared" si="7"/>
        <v>0.23907640706626759</v>
      </c>
      <c r="K52" s="5">
        <f t="shared" si="8"/>
        <v>0.37964365877898731</v>
      </c>
      <c r="L52" s="5">
        <f t="shared" si="9"/>
        <v>0.52522351228087749</v>
      </c>
      <c r="M52" s="5">
        <f>J24/$K$19</f>
        <v>0.67505251205207162</v>
      </c>
      <c r="N52" s="5">
        <f t="shared" si="11"/>
        <v>0.75722981763188091</v>
      </c>
    </row>
    <row r="53" spans="2:14" x14ac:dyDescent="0.35">
      <c r="B53" s="27" t="s">
        <v>177</v>
      </c>
      <c r="C53" s="5">
        <f t="shared" si="2"/>
        <v>259.66893095416896</v>
      </c>
      <c r="E53" s="27">
        <v>18</v>
      </c>
      <c r="F53" s="27">
        <v>168.29999999999995</v>
      </c>
      <c r="G53" s="5">
        <f t="shared" si="4"/>
        <v>0</v>
      </c>
      <c r="H53" s="5">
        <f t="shared" si="5"/>
        <v>1.7958686163211626E-2</v>
      </c>
      <c r="I53" s="5">
        <f t="shared" si="6"/>
        <v>7.6880312449515709E-2</v>
      </c>
      <c r="J53" s="5">
        <f t="shared" si="7"/>
        <v>0.17442894319213825</v>
      </c>
      <c r="K53" s="5">
        <f t="shared" si="8"/>
        <v>0.27983882150464845</v>
      </c>
      <c r="L53" s="5">
        <f t="shared" si="9"/>
        <v>0.38925924251435479</v>
      </c>
      <c r="M53" s="5">
        <f>J25/$K$19</f>
        <v>0.50298605946849528</v>
      </c>
      <c r="N53" s="5">
        <f t="shared" si="11"/>
        <v>0.56661482477980951</v>
      </c>
    </row>
    <row r="54" spans="2:14" x14ac:dyDescent="0.35">
      <c r="B54" s="27" t="s">
        <v>122</v>
      </c>
      <c r="C54" s="5">
        <f>SUM(C34:C53)</f>
        <v>25767.73184341062</v>
      </c>
      <c r="E54" s="27">
        <v>19</v>
      </c>
      <c r="F54" s="27">
        <v>177.64999999999995</v>
      </c>
      <c r="G54" s="5">
        <f t="shared" si="4"/>
        <v>0</v>
      </c>
      <c r="H54" s="5">
        <f t="shared" si="5"/>
        <v>7.9368632676455608E-3</v>
      </c>
      <c r="I54" s="5">
        <f t="shared" si="6"/>
        <v>3.8594269081749899E-2</v>
      </c>
      <c r="J54" s="5">
        <f t="shared" si="7"/>
        <v>9.091267804227858E-2</v>
      </c>
      <c r="K54" s="5">
        <f t="shared" si="8"/>
        <v>0.14724162970000354</v>
      </c>
      <c r="L54" s="5">
        <f t="shared" si="9"/>
        <v>0.20605421301519156</v>
      </c>
      <c r="M54" s="5">
        <f>J26/$K$19</f>
        <v>0.26896801597606457</v>
      </c>
      <c r="N54" s="5">
        <f t="shared" si="11"/>
        <v>0.30568010914029392</v>
      </c>
    </row>
    <row r="55" spans="2:14" x14ac:dyDescent="0.35">
      <c r="E55" s="27" t="s">
        <v>36</v>
      </c>
      <c r="F55" s="27">
        <v>186.99999999999994</v>
      </c>
      <c r="G55" s="5">
        <f t="shared" si="4"/>
        <v>0</v>
      </c>
      <c r="H55" s="5">
        <f t="shared" si="5"/>
        <v>0</v>
      </c>
      <c r="I55" s="5">
        <f t="shared" si="6"/>
        <v>0</v>
      </c>
      <c r="J55" s="5">
        <f t="shared" si="7"/>
        <v>0</v>
      </c>
      <c r="K55" s="5">
        <f t="shared" si="8"/>
        <v>0</v>
      </c>
      <c r="L55" s="5">
        <f t="shared" si="9"/>
        <v>0</v>
      </c>
      <c r="M55" s="5">
        <f>J27/$K$19</f>
        <v>3.1898375021994175E-3</v>
      </c>
      <c r="N55" s="5">
        <f t="shared" si="11"/>
        <v>7.7806425968642194E-3</v>
      </c>
    </row>
    <row r="60" spans="2:14" x14ac:dyDescent="0.35">
      <c r="B60" s="353" t="s">
        <v>179</v>
      </c>
      <c r="C60" s="354"/>
      <c r="D60" s="354"/>
      <c r="E60" s="354"/>
      <c r="F60" s="354"/>
      <c r="G60" s="355"/>
      <c r="H60" s="350" t="s">
        <v>180</v>
      </c>
      <c r="I60" s="351"/>
      <c r="J60" s="352"/>
    </row>
    <row r="61" spans="2:14" x14ac:dyDescent="0.35">
      <c r="B61" s="29" t="s">
        <v>58</v>
      </c>
      <c r="C61" s="29" t="s">
        <v>181</v>
      </c>
      <c r="D61" s="29" t="s">
        <v>182</v>
      </c>
      <c r="E61" s="29" t="s">
        <v>183</v>
      </c>
      <c r="F61" s="29" t="s">
        <v>184</v>
      </c>
      <c r="G61" s="29" t="s">
        <v>10</v>
      </c>
      <c r="H61" s="29" t="s">
        <v>185</v>
      </c>
      <c r="I61" s="29" t="s">
        <v>186</v>
      </c>
      <c r="J61" s="29" t="s">
        <v>187</v>
      </c>
    </row>
    <row r="62" spans="2:14" x14ac:dyDescent="0.35">
      <c r="B62" s="29" t="s">
        <v>38</v>
      </c>
      <c r="C62" s="30" cm="1">
        <f t="array" ref="C62:G62">LINEST(G35:N35,$G$34:$N$34^{1;2;3;4})</f>
        <v>0.21534773840076479</v>
      </c>
      <c r="D62" s="30">
        <v>-0.17176747787197208</v>
      </c>
      <c r="E62" s="30">
        <v>2.4927356600725419E-2</v>
      </c>
      <c r="F62" s="30">
        <v>2.492302166207726E-3</v>
      </c>
      <c r="G62" s="30">
        <v>-1.2902689311806992E-4</v>
      </c>
      <c r="H62" s="30">
        <f t="shared" ref="H62:H82" si="12">SUM(C62:F62)</f>
        <v>7.0999919295725869E-2</v>
      </c>
      <c r="I62" s="30">
        <f>N35</f>
        <v>7.0496724588560211E-2</v>
      </c>
      <c r="J62" s="30">
        <f>I62-H62</f>
        <v>-5.0319470716565784E-4</v>
      </c>
      <c r="K62" s="32" t="s">
        <v>188</v>
      </c>
      <c r="L62" s="5">
        <f>SUM(J62:J82)/21*100</f>
        <v>-9.4180101308213734E-2</v>
      </c>
    </row>
    <row r="63" spans="2:14" x14ac:dyDescent="0.35">
      <c r="B63" s="31">
        <v>1</v>
      </c>
      <c r="C63" s="30" cm="1">
        <f t="array" ref="C63:G63">LINEST(G36:N36,$G$34:$N$34^{1;2;3;4})</f>
        <v>5.6987533165182035E-2</v>
      </c>
      <c r="D63" s="30">
        <v>0.18669686483887621</v>
      </c>
      <c r="E63" s="30">
        <v>-8.1304772944190223E-2</v>
      </c>
      <c r="F63" s="30">
        <v>9.5609966450831432E-2</v>
      </c>
      <c r="G63" s="30">
        <v>-9.4403405833405098E-4</v>
      </c>
      <c r="H63" s="30">
        <f t="shared" si="12"/>
        <v>0.25798959151069945</v>
      </c>
      <c r="I63" s="30">
        <f t="shared" ref="I63:I82" si="13">N36</f>
        <v>0.2562037006139754</v>
      </c>
      <c r="J63" s="30">
        <f t="shared" ref="J63:J82" si="14">I63-H63</f>
        <v>-1.7858908967240406E-3</v>
      </c>
    </row>
    <row r="64" spans="2:14" x14ac:dyDescent="0.35">
      <c r="B64" s="31">
        <v>2</v>
      </c>
      <c r="C64" s="30" cm="1">
        <f t="array" ref="C64:G64">LINEST(G37:N37,$G$34:$N$34^{1;2;3;4})</f>
        <v>-4.7865282573804117E-2</v>
      </c>
      <c r="D64" s="30">
        <v>0.22715504055443109</v>
      </c>
      <c r="E64" s="30">
        <v>9.26110719313607E-2</v>
      </c>
      <c r="F64" s="30">
        <v>0.19680089737302689</v>
      </c>
      <c r="G64" s="30">
        <v>-1.0549309981762022E-3</v>
      </c>
      <c r="H64" s="30">
        <f t="shared" si="12"/>
        <v>0.46870172728501458</v>
      </c>
      <c r="I64" s="30">
        <f t="shared" si="13"/>
        <v>0.4670256020496818</v>
      </c>
      <c r="J64" s="30">
        <f t="shared" si="14"/>
        <v>-1.6761252353327816E-3</v>
      </c>
    </row>
    <row r="65" spans="2:10" x14ac:dyDescent="0.35">
      <c r="B65" s="31">
        <v>3</v>
      </c>
      <c r="C65" s="30" cm="1">
        <f t="array" ref="C65:G65">LINEST(G38:N38,$G$34:$N$34^{1;2;3;4})</f>
        <v>-4.0590037490453409E-2</v>
      </c>
      <c r="D65" s="30">
        <v>5.0891051061273389E-2</v>
      </c>
      <c r="E65" s="30">
        <v>0.31741041658854374</v>
      </c>
      <c r="F65" s="30">
        <v>0.32994435871458799</v>
      </c>
      <c r="G65" s="30">
        <v>-7.3098805173441896E-4</v>
      </c>
      <c r="H65" s="30">
        <f t="shared" si="12"/>
        <v>0.65765578887395171</v>
      </c>
      <c r="I65" s="30">
        <f t="shared" si="13"/>
        <v>0.65667785623627017</v>
      </c>
      <c r="J65" s="30">
        <f t="shared" si="14"/>
        <v>-9.7793263768153338E-4</v>
      </c>
    </row>
    <row r="66" spans="2:10" x14ac:dyDescent="0.35">
      <c r="B66" s="31">
        <v>4</v>
      </c>
      <c r="C66" s="30" cm="1">
        <f t="array" ref="C66:G66">LINEST(G39:N39,$G$34:$N$34^{1;2;3;4})</f>
        <v>2.1618348844642827E-2</v>
      </c>
      <c r="D66" s="30">
        <v>-0.16782019767074857</v>
      </c>
      <c r="E66" s="30">
        <v>0.45726384041492263</v>
      </c>
      <c r="F66" s="30">
        <v>0.49636326599877195</v>
      </c>
      <c r="G66" s="30">
        <v>-4.54407234392302E-4</v>
      </c>
      <c r="H66" s="30">
        <f t="shared" si="12"/>
        <v>0.80742525758758887</v>
      </c>
      <c r="I66" s="30">
        <f t="shared" si="13"/>
        <v>0.80689459597787816</v>
      </c>
      <c r="J66" s="30">
        <f t="shared" si="14"/>
        <v>-5.3066160971071419E-4</v>
      </c>
    </row>
    <row r="67" spans="2:10" x14ac:dyDescent="0.35">
      <c r="B67" s="31">
        <v>5</v>
      </c>
      <c r="C67" s="30" cm="1">
        <f t="array" ref="C67:G67">LINEST(G40:N40,$G$34:$N$34^{1;2;3;4})</f>
        <v>0.10832723583843842</v>
      </c>
      <c r="D67" s="30">
        <v>-0.36683583392172142</v>
      </c>
      <c r="E67" s="30">
        <v>0.51019122813892914</v>
      </c>
      <c r="F67" s="30">
        <v>0.65927431226515809</v>
      </c>
      <c r="G67" s="30">
        <v>-5.480736960517818E-4</v>
      </c>
      <c r="H67" s="30">
        <f t="shared" si="12"/>
        <v>0.91095694232080426</v>
      </c>
      <c r="I67" s="30">
        <f t="shared" si="13"/>
        <v>0.9102702062447442</v>
      </c>
      <c r="J67" s="30">
        <f t="shared" si="14"/>
        <v>-6.8673607606006826E-4</v>
      </c>
    </row>
    <row r="68" spans="2:10" x14ac:dyDescent="0.35">
      <c r="B68" s="31">
        <v>6</v>
      </c>
      <c r="C68" s="30" cm="1">
        <f t="array" ref="C68:G68">LINEST(G41:N41,$G$34:$N$34^{1;2;3;4})</f>
        <v>0.17773843837340536</v>
      </c>
      <c r="D68" s="30">
        <v>-0.47647289278714539</v>
      </c>
      <c r="E68" s="30">
        <v>0.47417291266293532</v>
      </c>
      <c r="F68" s="30">
        <v>0.79376922183658571</v>
      </c>
      <c r="G68" s="30">
        <v>-5.5743142423590047E-4</v>
      </c>
      <c r="H68" s="30">
        <f t="shared" si="12"/>
        <v>0.96920768008578095</v>
      </c>
      <c r="I68" s="30">
        <f t="shared" si="13"/>
        <v>0.96846040712478632</v>
      </c>
      <c r="J68" s="30">
        <f t="shared" si="14"/>
        <v>-7.4727296099463825E-4</v>
      </c>
    </row>
    <row r="69" spans="2:10" x14ac:dyDescent="0.35">
      <c r="B69" s="31">
        <v>7</v>
      </c>
      <c r="C69" s="30" cm="1">
        <f t="array" ref="C69:G69">LINEST(G42:N42,$G$34:$N$34^{1;2;3;4})</f>
        <v>0.14500543429466187</v>
      </c>
      <c r="D69" s="30">
        <v>-0.36118490756609856</v>
      </c>
      <c r="E69" s="30">
        <v>0.31737071412791329</v>
      </c>
      <c r="F69" s="30">
        <v>0.89300233627434555</v>
      </c>
      <c r="G69" s="30">
        <v>-7.2745900283358034E-4</v>
      </c>
      <c r="H69" s="30">
        <f t="shared" si="12"/>
        <v>0.99419357713082213</v>
      </c>
      <c r="I69" s="30">
        <f t="shared" si="13"/>
        <v>0.99323584097070261</v>
      </c>
      <c r="J69" s="30">
        <f t="shared" si="14"/>
        <v>-9.5773616011951557E-4</v>
      </c>
    </row>
    <row r="70" spans="2:10" x14ac:dyDescent="0.35">
      <c r="B70" s="31">
        <v>8</v>
      </c>
      <c r="C70" s="30" cm="1">
        <f t="array" ref="C70:G70">LINEST(G43:N43,$G$34:$N$34^{1;2;3;4})</f>
        <v>0.14614238173456884</v>
      </c>
      <c r="D70" s="30">
        <v>-0.34788958483270604</v>
      </c>
      <c r="E70" s="30">
        <v>0.2838510411771748</v>
      </c>
      <c r="F70" s="30">
        <v>0.91792976994119957</v>
      </c>
      <c r="G70" s="30">
        <v>-7.6640772895352621E-4</v>
      </c>
      <c r="H70" s="30">
        <f t="shared" si="12"/>
        <v>1.0000336080202372</v>
      </c>
      <c r="I70" s="30">
        <f t="shared" si="13"/>
        <v>0.99899848116100498</v>
      </c>
      <c r="J70" s="30">
        <f t="shared" si="14"/>
        <v>-1.0351268592322382E-3</v>
      </c>
    </row>
    <row r="71" spans="2:10" x14ac:dyDescent="0.35">
      <c r="B71" s="31">
        <v>9</v>
      </c>
      <c r="C71" s="30" cm="1">
        <f t="array" ref="C71:G71">LINEST(G44:N44,$G$34:$N$34^{1;2;3;4})</f>
        <v>0.14643064851780299</v>
      </c>
      <c r="D71" s="30">
        <v>-0.34761558600750769</v>
      </c>
      <c r="E71" s="30">
        <v>0.28237835734374045</v>
      </c>
      <c r="F71" s="30">
        <v>0.91910683201847398</v>
      </c>
      <c r="G71" s="30">
        <v>-7.7878806922920124E-4</v>
      </c>
      <c r="H71" s="30">
        <f t="shared" si="12"/>
        <v>1.0003002518725097</v>
      </c>
      <c r="I71" s="30">
        <f t="shared" si="13"/>
        <v>0.99924886087075382</v>
      </c>
      <c r="J71" s="30">
        <f t="shared" si="14"/>
        <v>-1.0513910017558858E-3</v>
      </c>
    </row>
    <row r="72" spans="2:10" x14ac:dyDescent="0.35">
      <c r="B72" s="31">
        <v>10</v>
      </c>
      <c r="C72" s="30" cm="1">
        <f t="array" ref="C72:G72">LINEST(G45:N45,$G$34:$N$34^{1;2;3;4})</f>
        <v>0.14671891530104025</v>
      </c>
      <c r="D72" s="30">
        <v>-0.34734158718231584</v>
      </c>
      <c r="E72" s="30">
        <v>0.28090567351031043</v>
      </c>
      <c r="F72" s="30">
        <v>0.92028389409574773</v>
      </c>
      <c r="G72" s="30">
        <v>-7.9116840950508444E-4</v>
      </c>
      <c r="H72" s="30">
        <f t="shared" si="12"/>
        <v>1.0005668957247826</v>
      </c>
      <c r="I72" s="30">
        <f t="shared" si="13"/>
        <v>0.99949924058050243</v>
      </c>
      <c r="J72" s="30">
        <f t="shared" si="14"/>
        <v>-1.0676551442801996E-3</v>
      </c>
    </row>
    <row r="73" spans="2:10" x14ac:dyDescent="0.35">
      <c r="B73" s="31">
        <v>11</v>
      </c>
      <c r="C73" s="30" cm="1">
        <f t="array" ref="C73:G73">LINEST(G46:N46,$G$34:$N$34^{1;2;3;4})</f>
        <v>0.14700718208427385</v>
      </c>
      <c r="D73" s="30">
        <v>-0.34706758835711715</v>
      </c>
      <c r="E73" s="30">
        <v>0.27943298967687608</v>
      </c>
      <c r="F73" s="30">
        <v>0.92146095617302248</v>
      </c>
      <c r="G73" s="30">
        <v>-8.0354874978083579E-4</v>
      </c>
      <c r="H73" s="30">
        <f t="shared" si="12"/>
        <v>1.0008335395770553</v>
      </c>
      <c r="I73" s="30">
        <f t="shared" si="13"/>
        <v>0.99974962029025116</v>
      </c>
      <c r="J73" s="30">
        <f t="shared" si="14"/>
        <v>-1.0839192868041803E-3</v>
      </c>
    </row>
    <row r="74" spans="2:10" x14ac:dyDescent="0.35">
      <c r="B74" s="31">
        <v>12</v>
      </c>
      <c r="C74" s="30" cm="1">
        <f t="array" ref="C74:G74">LINEST(G47:N47,$G$34:$N$34^{1;2;3;4})</f>
        <v>0.14729544886751389</v>
      </c>
      <c r="D74" s="30">
        <v>-0.34679358953193096</v>
      </c>
      <c r="E74" s="30">
        <v>0.27796030584345022</v>
      </c>
      <c r="F74" s="30">
        <v>0.92263801825029457</v>
      </c>
      <c r="G74" s="30">
        <v>-8.1592909005639286E-4</v>
      </c>
      <c r="H74" s="30">
        <f t="shared" si="12"/>
        <v>1.0011001834293278</v>
      </c>
      <c r="I74" s="30">
        <f t="shared" si="13"/>
        <v>1</v>
      </c>
      <c r="J74" s="30">
        <f t="shared" si="14"/>
        <v>-1.1001834293278279E-3</v>
      </c>
    </row>
    <row r="75" spans="2:10" x14ac:dyDescent="0.35">
      <c r="B75" s="31">
        <v>13</v>
      </c>
      <c r="C75" s="30" cm="1">
        <f t="array" ref="C75:G75">LINEST(G48:N48,$G$34:$N$34^{1;2;3;4})</f>
        <v>0.15095006683791851</v>
      </c>
      <c r="D75" s="30">
        <v>-0.36136901192043169</v>
      </c>
      <c r="E75" s="30">
        <v>0.29830537895390313</v>
      </c>
      <c r="F75" s="30">
        <v>0.91073270908292214</v>
      </c>
      <c r="G75" s="30">
        <v>-8.0535909262206828E-4</v>
      </c>
      <c r="H75" s="30">
        <f t="shared" si="12"/>
        <v>0.99861914295431209</v>
      </c>
      <c r="I75" s="30">
        <f t="shared" si="13"/>
        <v>0.99753529793218831</v>
      </c>
      <c r="J75" s="30">
        <f t="shared" si="14"/>
        <v>-1.083845022123775E-3</v>
      </c>
    </row>
    <row r="76" spans="2:10" x14ac:dyDescent="0.35">
      <c r="B76" s="31">
        <v>14</v>
      </c>
      <c r="C76" s="30" cm="1">
        <f t="array" ref="C76:G76">LINEST(G49:N49,$G$34:$N$34^{1;2;3;4})</f>
        <v>0.14527922389284362</v>
      </c>
      <c r="D76" s="30">
        <v>-0.3593566496284985</v>
      </c>
      <c r="E76" s="30">
        <v>0.31711010366082354</v>
      </c>
      <c r="F76" s="30">
        <v>0.8845409185068176</v>
      </c>
      <c r="G76" s="30">
        <v>-6.4564533008853314E-4</v>
      </c>
      <c r="H76" s="30">
        <f t="shared" si="12"/>
        <v>0.98757359643198628</v>
      </c>
      <c r="I76" s="30">
        <f t="shared" si="13"/>
        <v>0.98671912926426208</v>
      </c>
      <c r="J76" s="30">
        <f t="shared" si="14"/>
        <v>-8.5446716772419329E-4</v>
      </c>
    </row>
    <row r="77" spans="2:10" x14ac:dyDescent="0.35">
      <c r="B77" s="31">
        <v>15</v>
      </c>
      <c r="C77" s="30" cm="1">
        <f t="array" ref="C77:G77">LINEST(G50:N50,$G$34:$N$34^{1;2;3;4})</f>
        <v>0.14626078038337295</v>
      </c>
      <c r="D77" s="30">
        <v>-0.38448930566595113</v>
      </c>
      <c r="E77" s="30">
        <v>0.38027962170620444</v>
      </c>
      <c r="F77" s="30">
        <v>0.81622713423779358</v>
      </c>
      <c r="G77" s="30">
        <v>-7.4233819006049723E-4</v>
      </c>
      <c r="H77" s="30">
        <f t="shared" si="12"/>
        <v>0.95827823066141982</v>
      </c>
      <c r="I77" s="30">
        <f t="shared" si="13"/>
        <v>0.95731269226244764</v>
      </c>
      <c r="J77" s="30">
        <f t="shared" si="14"/>
        <v>-9.6553839897217664E-4</v>
      </c>
    </row>
    <row r="78" spans="2:10" x14ac:dyDescent="0.35">
      <c r="B78" s="31">
        <v>16</v>
      </c>
      <c r="C78" s="30" cm="1">
        <f t="array" ref="C78:G78">LINEST(G51:N51,$G$34:$N$34^{1;2;3;4})</f>
        <v>0.19228153589664904</v>
      </c>
      <c r="D78" s="30">
        <v>-0.50769089537234424</v>
      </c>
      <c r="E78" s="30">
        <v>0.5221403391095133</v>
      </c>
      <c r="F78" s="30">
        <v>0.6805643501021903</v>
      </c>
      <c r="G78" s="30">
        <v>-7.2040121729271406E-4</v>
      </c>
      <c r="H78" s="30">
        <f t="shared" si="12"/>
        <v>0.88729532973600844</v>
      </c>
      <c r="I78" s="30">
        <f t="shared" si="13"/>
        <v>0.88633332990138403</v>
      </c>
      <c r="J78" s="30">
        <f t="shared" si="14"/>
        <v>-9.6199983462441629E-4</v>
      </c>
    </row>
    <row r="79" spans="2:10" x14ac:dyDescent="0.35">
      <c r="B79" s="31">
        <v>17</v>
      </c>
      <c r="C79" s="30" cm="1">
        <f t="array" ref="C79:G79">LINEST(G52:N52,$G$34:$N$34^{1;2;3;4})</f>
        <v>0.25068025687275575</v>
      </c>
      <c r="D79" s="30">
        <v>-0.64037022836079605</v>
      </c>
      <c r="E79" s="30">
        <v>0.64869964760824295</v>
      </c>
      <c r="F79" s="30">
        <v>0.49920130591260586</v>
      </c>
      <c r="G79" s="30">
        <v>-6.8574824184176875E-4</v>
      </c>
      <c r="H79" s="30">
        <f t="shared" si="12"/>
        <v>0.75821098203280846</v>
      </c>
      <c r="I79" s="30">
        <f t="shared" si="13"/>
        <v>0.75722981763188091</v>
      </c>
      <c r="J79" s="30">
        <f t="shared" si="14"/>
        <v>-9.8116440092754775E-4</v>
      </c>
    </row>
    <row r="80" spans="2:10" x14ac:dyDescent="0.35">
      <c r="B80" s="31">
        <v>18</v>
      </c>
      <c r="C80" s="30" cm="1">
        <f t="array" ref="C80:G80">LINEST(G53:N53,$G$34:$N$34^{1;2;3;4})</f>
        <v>0.2473833380274979</v>
      </c>
      <c r="D80" s="30">
        <v>-0.60293568307512424</v>
      </c>
      <c r="E80" s="30">
        <v>0.58287271806454855</v>
      </c>
      <c r="F80" s="30">
        <v>0.34032481942534121</v>
      </c>
      <c r="G80" s="30">
        <v>-7.9393658064752515E-4</v>
      </c>
      <c r="H80" s="30">
        <f t="shared" si="12"/>
        <v>0.56764519244226341</v>
      </c>
      <c r="I80" s="30">
        <f t="shared" si="13"/>
        <v>0.56661482477980951</v>
      </c>
      <c r="J80" s="30">
        <f t="shared" si="14"/>
        <v>-1.0303676624539015E-3</v>
      </c>
    </row>
    <row r="81" spans="2:10" x14ac:dyDescent="0.35">
      <c r="B81" s="31">
        <v>19</v>
      </c>
      <c r="C81" s="30" cm="1">
        <f t="array" ref="C81:G81">LINEST(G54:N54,$G$34:$N$34^{1;2;3;4})</f>
        <v>0.20905255369017647</v>
      </c>
      <c r="D81" s="30">
        <v>-0.4681883327326124</v>
      </c>
      <c r="E81" s="30">
        <v>0.4103531623599953</v>
      </c>
      <c r="F81" s="30">
        <v>0.15527574134643918</v>
      </c>
      <c r="G81" s="30">
        <v>-6.1462114497797676E-4</v>
      </c>
      <c r="H81" s="30">
        <f t="shared" si="12"/>
        <v>0.30649312466399858</v>
      </c>
      <c r="I81" s="30">
        <f t="shared" si="13"/>
        <v>0.30568010914029392</v>
      </c>
      <c r="J81" s="30">
        <f t="shared" si="14"/>
        <v>-8.1301552370466323E-4</v>
      </c>
    </row>
    <row r="82" spans="2:10" x14ac:dyDescent="0.35">
      <c r="B82" s="31" t="s">
        <v>36</v>
      </c>
      <c r="C82" s="30" cm="1">
        <f t="array" ref="C82:G82">LINEST(G55:N55,$G$34:$N$34^{1;2;3;4})</f>
        <v>6.8354701175072238E-2</v>
      </c>
      <c r="D82" s="30">
        <v>-9.712159558864028E-2</v>
      </c>
      <c r="E82" s="30">
        <v>4.1876989426376965E-2</v>
      </c>
      <c r="F82" s="30">
        <v>-5.4458551569397723E-3</v>
      </c>
      <c r="G82" s="30">
        <v>8.0416440708545867E-5</v>
      </c>
      <c r="H82" s="30">
        <f t="shared" si="12"/>
        <v>7.6642398558691505E-3</v>
      </c>
      <c r="I82" s="30">
        <f t="shared" si="13"/>
        <v>7.7806425968642194E-3</v>
      </c>
      <c r="J82" s="30">
        <f t="shared" si="14"/>
        <v>1.1640274099506895E-4</v>
      </c>
    </row>
  </sheetData>
  <mergeCells count="7">
    <mergeCell ref="H60:J60"/>
    <mergeCell ref="B60:G60"/>
    <mergeCell ref="D4:K4"/>
    <mergeCell ref="G32:N32"/>
    <mergeCell ref="D5:K5"/>
    <mergeCell ref="B29:D29"/>
    <mergeCell ref="G33:N3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685A-FB97-457B-BDF4-DDC3EDD0323C}">
  <dimension ref="B1:AB177"/>
  <sheetViews>
    <sheetView topLeftCell="A132" zoomScale="85" zoomScaleNormal="85" workbookViewId="0">
      <selection activeCell="C114" sqref="C114"/>
    </sheetView>
  </sheetViews>
  <sheetFormatPr defaultRowHeight="14.5" x14ac:dyDescent="0.35"/>
  <cols>
    <col min="2" max="2" width="10.1796875" bestFit="1" customWidth="1"/>
    <col min="3" max="3" width="13.81640625" bestFit="1" customWidth="1"/>
    <col min="8" max="8" width="8.453125" customWidth="1"/>
    <col min="13" max="13" width="8.1796875" customWidth="1"/>
    <col min="15" max="15" width="13" bestFit="1" customWidth="1"/>
    <col min="18" max="18" width="13" bestFit="1" customWidth="1"/>
    <col min="21" max="21" width="12" bestFit="1" customWidth="1"/>
    <col min="22" max="22" width="8.1796875" bestFit="1" customWidth="1"/>
    <col min="23" max="23" width="9.26953125" customWidth="1"/>
  </cols>
  <sheetData>
    <row r="1" spans="2:24" x14ac:dyDescent="0.35">
      <c r="B1" s="365" t="s">
        <v>196</v>
      </c>
      <c r="C1" s="365"/>
      <c r="D1" s="365"/>
    </row>
    <row r="2" spans="2:24" x14ac:dyDescent="0.35">
      <c r="B2" s="365"/>
      <c r="C2" s="365"/>
      <c r="D2" s="365"/>
    </row>
    <row r="4" spans="2:24" ht="18.5" x14ac:dyDescent="0.45">
      <c r="B4" s="359" t="s">
        <v>197</v>
      </c>
      <c r="C4" s="360"/>
      <c r="D4" s="360"/>
    </row>
    <row r="5" spans="2:24" ht="15" thickBot="1" x14ac:dyDescent="0.4"/>
    <row r="6" spans="2:24" x14ac:dyDescent="0.35">
      <c r="B6" s="361" t="s">
        <v>3</v>
      </c>
      <c r="C6" s="362"/>
      <c r="U6" s="363"/>
      <c r="V6" s="364"/>
      <c r="W6" s="85" t="s">
        <v>303</v>
      </c>
      <c r="X6" s="35" t="s">
        <v>122</v>
      </c>
    </row>
    <row r="7" spans="2:24" x14ac:dyDescent="0.35">
      <c r="B7" s="100" t="s">
        <v>293</v>
      </c>
      <c r="C7" s="37">
        <f>Prelude!C2</f>
        <v>187</v>
      </c>
      <c r="U7" s="36" t="s">
        <v>294</v>
      </c>
      <c r="V7" s="1">
        <f>S9*(0.5+M9/$C$8)</f>
        <v>69.441086154513897</v>
      </c>
      <c r="W7" s="1">
        <f>(V7/$S$13)*($S$14)</f>
        <v>3.1177630518353165</v>
      </c>
      <c r="X7" s="37">
        <f>V7+W7</f>
        <v>72.558849206349208</v>
      </c>
    </row>
    <row r="8" spans="2:24" ht="15" thickBot="1" x14ac:dyDescent="0.4">
      <c r="B8" s="99" t="s">
        <v>198</v>
      </c>
      <c r="C8" s="67">
        <f>'OffSet da Hull'!M10</f>
        <v>9.35</v>
      </c>
      <c r="U8" s="36" t="s">
        <v>295</v>
      </c>
      <c r="V8" s="22">
        <f>S10*(0.5+M10/$C$8)</f>
        <v>236.0996929253472</v>
      </c>
      <c r="W8" s="1">
        <f t="shared" ref="W8:W14" si="0">(V8/$S$13)*($S$14)</f>
        <v>10.600394376240073</v>
      </c>
      <c r="X8" s="37">
        <f t="shared" ref="X8:X14" si="1">V8+W8</f>
        <v>246.70008730158727</v>
      </c>
    </row>
    <row r="9" spans="2:24" x14ac:dyDescent="0.35">
      <c r="B9" s="100" t="s">
        <v>292</v>
      </c>
      <c r="C9" s="37">
        <f>'Secção Longitudinal'!C17</f>
        <v>9.35</v>
      </c>
      <c r="D9" s="39"/>
      <c r="F9" s="102" t="s">
        <v>200</v>
      </c>
      <c r="G9" s="40">
        <f>2*C9</f>
        <v>18.7</v>
      </c>
      <c r="I9" s="102" t="s">
        <v>201</v>
      </c>
      <c r="J9" s="40">
        <f>G14*(C8/(3*C13))</f>
        <v>17.82444992201426</v>
      </c>
      <c r="L9" s="102" t="s">
        <v>202</v>
      </c>
      <c r="M9" s="41">
        <f>($C$8/3)</f>
        <v>3.1166666666666667</v>
      </c>
      <c r="O9" s="102" t="s">
        <v>203</v>
      </c>
      <c r="P9" s="41">
        <f>$C$8/2-M9</f>
        <v>1.5583333333333331</v>
      </c>
      <c r="R9" s="102" t="s">
        <v>204</v>
      </c>
      <c r="S9" s="40">
        <f>$C$8*(J9/2)</f>
        <v>83.329303385416665</v>
      </c>
      <c r="U9" s="36" t="s">
        <v>296</v>
      </c>
      <c r="V9" s="22">
        <f>S11*(0.5+M11/$C$8)</f>
        <v>361.09364800347225</v>
      </c>
      <c r="W9" s="1">
        <f t="shared" si="0"/>
        <v>16.212367869543645</v>
      </c>
      <c r="X9" s="37">
        <f t="shared" si="1"/>
        <v>377.30601587301589</v>
      </c>
    </row>
    <row r="10" spans="2:24" x14ac:dyDescent="0.35">
      <c r="B10" s="100" t="s">
        <v>282</v>
      </c>
      <c r="C10" s="37">
        <f>'Secção Longitudinal'!D17</f>
        <v>28.049999999999997</v>
      </c>
      <c r="F10" s="100" t="s">
        <v>206</v>
      </c>
      <c r="G10" s="42">
        <f>0.4612*(C7^2)-42.254*C7+2013.3</f>
        <v>10239.504799999999</v>
      </c>
      <c r="I10" s="100" t="s">
        <v>207</v>
      </c>
      <c r="J10" s="38">
        <f>G14*((2*C8)/(3*C13))</f>
        <v>35.64889984402852</v>
      </c>
      <c r="L10" s="100" t="s">
        <v>208</v>
      </c>
      <c r="M10" s="43">
        <f>(C8/2)-(C8/6)*((J10-J9)/(J10+J9))</f>
        <v>4.155555555555555</v>
      </c>
      <c r="O10" s="100" t="s">
        <v>209</v>
      </c>
      <c r="P10" s="43">
        <f>$C$8/2-M10</f>
        <v>0.51944444444444482</v>
      </c>
      <c r="R10" s="36" t="s">
        <v>210</v>
      </c>
      <c r="S10" s="38">
        <f>$C$8*(J10+J9)/2</f>
        <v>249.98791015625</v>
      </c>
      <c r="U10" s="36" t="s">
        <v>297</v>
      </c>
      <c r="V10" s="22">
        <f>S12*(0.5+M12/$C$8)</f>
        <v>259.98742656249999</v>
      </c>
      <c r="W10" s="1">
        <f t="shared" si="0"/>
        <v>11.672904866071423</v>
      </c>
      <c r="X10" s="37">
        <f t="shared" si="1"/>
        <v>271.6603314285714</v>
      </c>
    </row>
    <row r="11" spans="2:24" x14ac:dyDescent="0.35">
      <c r="B11" s="100" t="s">
        <v>199</v>
      </c>
      <c r="C11" s="38">
        <f>C10+C9</f>
        <v>37.4</v>
      </c>
      <c r="D11" s="39"/>
      <c r="F11" s="100" t="s">
        <v>212</v>
      </c>
      <c r="G11" s="38">
        <f>0.1*G10</f>
        <v>1023.95048</v>
      </c>
      <c r="I11" s="100" t="s">
        <v>213</v>
      </c>
      <c r="J11" s="38">
        <f>G14</f>
        <v>42.77867981283422</v>
      </c>
      <c r="L11" s="100" t="s">
        <v>214</v>
      </c>
      <c r="M11" s="43">
        <f>(C8/2)-(C8/6)*((J11-J10)/(J11+J10))</f>
        <v>4.5333333333333332</v>
      </c>
      <c r="O11" s="100" t="s">
        <v>215</v>
      </c>
      <c r="P11" s="43">
        <f>$C$8/2-M11</f>
        <v>0.14166666666666661</v>
      </c>
      <c r="R11" s="36" t="s">
        <v>216</v>
      </c>
      <c r="S11" s="38">
        <f>$C$8*(J11+J10)/2</f>
        <v>366.64893489583335</v>
      </c>
      <c r="U11" s="36" t="s">
        <v>298</v>
      </c>
      <c r="V11" s="22">
        <f>S9*(0.5-M9/$C$8)</f>
        <v>13.888217230902775</v>
      </c>
      <c r="W11" s="1">
        <f t="shared" si="0"/>
        <v>0.62355261036706311</v>
      </c>
      <c r="X11" s="37">
        <f t="shared" si="1"/>
        <v>14.511769841269839</v>
      </c>
    </row>
    <row r="12" spans="2:24" x14ac:dyDescent="0.35">
      <c r="B12" s="100" t="s">
        <v>205</v>
      </c>
      <c r="C12" s="37">
        <f>0.6*C11</f>
        <v>22.439999999999998</v>
      </c>
      <c r="F12" s="100" t="s">
        <v>217</v>
      </c>
      <c r="G12" s="42">
        <f>G11-G9</f>
        <v>1005.2504799999999</v>
      </c>
      <c r="I12" s="100" t="s">
        <v>218</v>
      </c>
      <c r="J12" s="38">
        <f>G13</f>
        <v>17.111471925133689</v>
      </c>
      <c r="L12" s="100" t="s">
        <v>219</v>
      </c>
      <c r="M12" s="37">
        <f>(C8/2)-(C8/6)*((J11-J12)/(J11+J12))</f>
        <v>4.0071428571428571</v>
      </c>
      <c r="O12" s="100" t="s">
        <v>220</v>
      </c>
      <c r="P12" s="43">
        <f>$C$8/2-M12</f>
        <v>0.6678571428571427</v>
      </c>
      <c r="R12" s="36" t="s">
        <v>221</v>
      </c>
      <c r="S12" s="38">
        <f>$C$8*(J12+J11)/2</f>
        <v>279.98645937499998</v>
      </c>
      <c r="U12" s="36" t="s">
        <v>299</v>
      </c>
      <c r="V12" s="22">
        <f>S10*(0.5-M10/$C$8)</f>
        <v>13.888217230902784</v>
      </c>
      <c r="W12" s="1">
        <f t="shared" si="0"/>
        <v>0.62355261036706344</v>
      </c>
      <c r="X12" s="37">
        <f t="shared" si="1"/>
        <v>14.511769841269848</v>
      </c>
    </row>
    <row r="13" spans="2:24" ht="15" thickBot="1" x14ac:dyDescent="0.4">
      <c r="B13" s="101" t="s">
        <v>211</v>
      </c>
      <c r="C13" s="45">
        <f>C11/5</f>
        <v>7.4799999999999995</v>
      </c>
      <c r="F13" s="100" t="s">
        <v>222</v>
      </c>
      <c r="G13" s="38">
        <f>(5/8)*(G11/C11)*((45*C12/C11)-26)</f>
        <v>17.111471925133689</v>
      </c>
      <c r="R13" s="36" t="s">
        <v>304</v>
      </c>
      <c r="S13" s="38">
        <f>SUM(S9:S12)</f>
        <v>979.95260781249999</v>
      </c>
      <c r="U13" s="36" t="s">
        <v>300</v>
      </c>
      <c r="V13" s="22">
        <f>S11*(0.5-M11/$C$8)</f>
        <v>5.5552868923611065</v>
      </c>
      <c r="W13" s="1">
        <f t="shared" si="0"/>
        <v>0.24942104414682509</v>
      </c>
      <c r="X13" s="37">
        <f t="shared" si="1"/>
        <v>5.8047079365079313</v>
      </c>
    </row>
    <row r="14" spans="2:24" ht="15" thickBot="1" x14ac:dyDescent="0.4">
      <c r="B14" s="103" t="s">
        <v>302</v>
      </c>
      <c r="C14" s="104">
        <f>Prelude!D2</f>
        <v>26.1</v>
      </c>
      <c r="F14" s="101" t="s">
        <v>225</v>
      </c>
      <c r="G14" s="46">
        <f>(5/16)*(G11/C11)*(14-(15*C12/C11))</f>
        <v>42.77867981283422</v>
      </c>
      <c r="R14" s="44" t="s">
        <v>305</v>
      </c>
      <c r="S14" s="46">
        <f>G11-S13</f>
        <v>43.997872187499979</v>
      </c>
      <c r="U14" s="44" t="s">
        <v>301</v>
      </c>
      <c r="V14" s="105">
        <f>S12*(0.5-M12/$C$8)</f>
        <v>19.999032812499991</v>
      </c>
      <c r="W14" s="106">
        <f t="shared" si="0"/>
        <v>0.89791575892857067</v>
      </c>
      <c r="X14" s="45">
        <f t="shared" si="1"/>
        <v>20.89694857142856</v>
      </c>
    </row>
    <row r="15" spans="2:24" ht="15" thickBot="1" x14ac:dyDescent="0.4">
      <c r="X15" s="56">
        <f>SUM(X7:X14)</f>
        <v>1023.9504799999999</v>
      </c>
    </row>
    <row r="16" spans="2:24" ht="15" thickBot="1" x14ac:dyDescent="0.4"/>
    <row r="17" spans="2:3" ht="15" thickBot="1" x14ac:dyDescent="0.4">
      <c r="B17" s="48" t="s">
        <v>226</v>
      </c>
      <c r="C17" s="49" t="s">
        <v>227</v>
      </c>
    </row>
    <row r="18" spans="2:3" x14ac:dyDescent="0.35">
      <c r="B18" s="50" t="s">
        <v>228</v>
      </c>
      <c r="C18" s="51">
        <f>X7</f>
        <v>72.558849206349208</v>
      </c>
    </row>
    <row r="19" spans="2:3" x14ac:dyDescent="0.35">
      <c r="B19" s="52" t="s">
        <v>229</v>
      </c>
      <c r="C19" s="53">
        <f>X8+X11</f>
        <v>261.21185714285713</v>
      </c>
    </row>
    <row r="20" spans="2:3" x14ac:dyDescent="0.35">
      <c r="B20" s="52" t="s">
        <v>230</v>
      </c>
      <c r="C20" s="53">
        <f>X9+X13+X14</f>
        <v>404.00767238095239</v>
      </c>
    </row>
    <row r="21" spans="2:3" x14ac:dyDescent="0.35">
      <c r="B21" s="52" t="s">
        <v>231</v>
      </c>
      <c r="C21" s="53">
        <f>X13+X10</f>
        <v>277.46503936507935</v>
      </c>
    </row>
    <row r="22" spans="2:3" x14ac:dyDescent="0.35">
      <c r="B22" s="52" t="s">
        <v>232</v>
      </c>
      <c r="C22" s="53">
        <f>0</f>
        <v>0</v>
      </c>
    </row>
    <row r="23" spans="2:3" x14ac:dyDescent="0.35">
      <c r="B23" s="52" t="s">
        <v>233</v>
      </c>
      <c r="C23" s="54">
        <v>0</v>
      </c>
    </row>
    <row r="24" spans="2:3" x14ac:dyDescent="0.35">
      <c r="B24" s="52" t="s">
        <v>234</v>
      </c>
      <c r="C24" s="54">
        <v>0</v>
      </c>
    </row>
    <row r="25" spans="2:3" x14ac:dyDescent="0.35">
      <c r="B25" s="52" t="s">
        <v>235</v>
      </c>
      <c r="C25" s="54">
        <v>0</v>
      </c>
    </row>
    <row r="26" spans="2:3" x14ac:dyDescent="0.35">
      <c r="B26" s="52" t="s">
        <v>236</v>
      </c>
      <c r="C26" s="54">
        <v>0</v>
      </c>
    </row>
    <row r="27" spans="2:3" x14ac:dyDescent="0.35">
      <c r="B27" s="52" t="s">
        <v>237</v>
      </c>
      <c r="C27" s="54">
        <v>0</v>
      </c>
    </row>
    <row r="28" spans="2:3" x14ac:dyDescent="0.35">
      <c r="B28" s="52" t="s">
        <v>238</v>
      </c>
      <c r="C28" s="54">
        <v>0</v>
      </c>
    </row>
    <row r="29" spans="2:3" x14ac:dyDescent="0.35">
      <c r="B29" s="52" t="s">
        <v>239</v>
      </c>
      <c r="C29" s="54">
        <v>0</v>
      </c>
    </row>
    <row r="30" spans="2:3" x14ac:dyDescent="0.35">
      <c r="B30" s="52" t="s">
        <v>240</v>
      </c>
      <c r="C30" s="54">
        <v>0</v>
      </c>
    </row>
    <row r="31" spans="2:3" x14ac:dyDescent="0.35">
      <c r="B31" s="52" t="s">
        <v>241</v>
      </c>
      <c r="C31" s="54">
        <v>0</v>
      </c>
    </row>
    <row r="32" spans="2:3" x14ac:dyDescent="0.35">
      <c r="B32" s="52" t="s">
        <v>242</v>
      </c>
      <c r="C32" s="54">
        <v>0</v>
      </c>
    </row>
    <row r="33" spans="2:21" x14ac:dyDescent="0.35">
      <c r="B33" s="52" t="s">
        <v>243</v>
      </c>
      <c r="C33" s="54">
        <v>0</v>
      </c>
    </row>
    <row r="34" spans="2:21" x14ac:dyDescent="0.35">
      <c r="B34" s="52" t="s">
        <v>244</v>
      </c>
      <c r="C34" s="54">
        <v>0</v>
      </c>
    </row>
    <row r="35" spans="2:21" x14ac:dyDescent="0.35">
      <c r="B35" s="52" t="s">
        <v>245</v>
      </c>
      <c r="C35" s="54">
        <v>0</v>
      </c>
    </row>
    <row r="36" spans="2:21" x14ac:dyDescent="0.35">
      <c r="B36" s="52" t="s">
        <v>246</v>
      </c>
      <c r="C36" s="54">
        <v>0</v>
      </c>
    </row>
    <row r="37" spans="2:21" ht="15" thickBot="1" x14ac:dyDescent="0.4">
      <c r="B37" s="55" t="s">
        <v>247</v>
      </c>
      <c r="C37" s="56">
        <v>0</v>
      </c>
    </row>
    <row r="38" spans="2:21" ht="15" thickBot="1" x14ac:dyDescent="0.4">
      <c r="B38" s="57" t="s">
        <v>122</v>
      </c>
      <c r="C38" s="58">
        <f>SUM(C18:C37)</f>
        <v>1015.243418095238</v>
      </c>
    </row>
    <row r="42" spans="2:21" ht="18.5" x14ac:dyDescent="0.45">
      <c r="B42" s="359" t="s">
        <v>248</v>
      </c>
      <c r="C42" s="360"/>
      <c r="D42" s="360"/>
    </row>
    <row r="43" spans="2:21" ht="15" thickBot="1" x14ac:dyDescent="0.4"/>
    <row r="44" spans="2:21" ht="15" thickBot="1" x14ac:dyDescent="0.4">
      <c r="B44" s="357" t="s">
        <v>3</v>
      </c>
      <c r="C44" s="358"/>
      <c r="F44" s="34" t="s">
        <v>201</v>
      </c>
      <c r="G44" s="41">
        <f>(C8/C49)*(2*C50)</f>
        <v>4.9505039589510336</v>
      </c>
      <c r="I44" s="34" t="s">
        <v>202</v>
      </c>
      <c r="J44" s="35">
        <f>C8/3</f>
        <v>3.1166666666666667</v>
      </c>
      <c r="L44" s="34" t="s">
        <v>203</v>
      </c>
      <c r="M44" s="35">
        <f>$C$8/2-J44</f>
        <v>1.5583333333333331</v>
      </c>
      <c r="O44" s="34" t="s">
        <v>204</v>
      </c>
      <c r="P44" s="35">
        <f>G44*(C8)/2</f>
        <v>23.143606008096082</v>
      </c>
      <c r="R44" s="363"/>
      <c r="S44" s="364"/>
      <c r="T44" s="85" t="s">
        <v>303</v>
      </c>
      <c r="U44" s="35" t="s">
        <v>122</v>
      </c>
    </row>
    <row r="45" spans="2:21" x14ac:dyDescent="0.35">
      <c r="B45" s="34" t="s">
        <v>249</v>
      </c>
      <c r="C45" s="41">
        <f>0.05*C7+3</f>
        <v>12.35</v>
      </c>
      <c r="F45" s="36" t="s">
        <v>207</v>
      </c>
      <c r="G45" s="43">
        <f>((2*C8)/(C49))*(2*C50)</f>
        <v>9.9010079179020671</v>
      </c>
      <c r="I45" s="36" t="s">
        <v>208</v>
      </c>
      <c r="J45" s="37">
        <f>($C$8/2)-($C$8/6)*((G45-G44)/(G45+G44))</f>
        <v>4.155555555555555</v>
      </c>
      <c r="L45" s="36" t="s">
        <v>209</v>
      </c>
      <c r="M45" s="37">
        <f>$C$8/2-J45</f>
        <v>0.51944444444444482</v>
      </c>
      <c r="O45" s="36" t="s">
        <v>210</v>
      </c>
      <c r="P45" s="37">
        <f>C8*(G45+G44)/2</f>
        <v>69.430818024288243</v>
      </c>
      <c r="R45" s="36" t="s">
        <v>294</v>
      </c>
      <c r="S45" s="1">
        <f>P44*(0.5+J44/$C$8)</f>
        <v>19.286338340080068</v>
      </c>
      <c r="T45" s="1">
        <f>(S45/$P$49)*$P$50</f>
        <v>9.8611955757626557</v>
      </c>
      <c r="U45" s="37">
        <f>S45+T45</f>
        <v>29.147533915842722</v>
      </c>
    </row>
    <row r="46" spans="2:21" x14ac:dyDescent="0.35">
      <c r="B46" s="36" t="s">
        <v>250</v>
      </c>
      <c r="C46" s="43">
        <f>0.5*C11*C14</f>
        <v>488.07</v>
      </c>
      <c r="D46" s="39"/>
      <c r="F46" s="36" t="s">
        <v>213</v>
      </c>
      <c r="G46" s="43">
        <f>$C$50</f>
        <v>13.125453812020975</v>
      </c>
      <c r="I46" s="36" t="s">
        <v>214</v>
      </c>
      <c r="J46" s="37">
        <f>($C$8/2)-($C$8/6)*((G46-G45)/(G46+G45))</f>
        <v>4.4567831685444927</v>
      </c>
      <c r="L46" s="36" t="s">
        <v>215</v>
      </c>
      <c r="M46" s="37">
        <f>$C$8/2-J46</f>
        <v>0.21821683145550708</v>
      </c>
      <c r="O46" s="36" t="s">
        <v>216</v>
      </c>
      <c r="P46" s="37">
        <f>C8*(G46+G45)/2</f>
        <v>107.64870858739022</v>
      </c>
      <c r="R46" s="36" t="s">
        <v>295</v>
      </c>
      <c r="S46" s="1">
        <f>P45*(0.5+J45/$C$8)</f>
        <v>65.573550356272222</v>
      </c>
      <c r="T46" s="1">
        <f t="shared" ref="T46:T51" si="2">(S46/$P$49)*$P$50</f>
        <v>33.528064957593024</v>
      </c>
      <c r="U46" s="37">
        <f t="shared" ref="U46:U51" si="3">S46+T46</f>
        <v>99.101615313865238</v>
      </c>
    </row>
    <row r="47" spans="2:21" x14ac:dyDescent="0.35">
      <c r="B47" s="36" t="s">
        <v>251</v>
      </c>
      <c r="C47" s="43">
        <f>0.008*C7*C14</f>
        <v>39.0456</v>
      </c>
      <c r="F47" s="36" t="s">
        <v>218</v>
      </c>
      <c r="G47" s="43">
        <f>$C$50</f>
        <v>13.125453812020975</v>
      </c>
      <c r="I47" s="36" t="s">
        <v>308</v>
      </c>
      <c r="J47" s="37">
        <f>($C$8/2)-($C$8/6)*((G49-G50)/(G50+G49))</f>
        <v>4.4595622119815665</v>
      </c>
      <c r="L47" s="36" t="s">
        <v>311</v>
      </c>
      <c r="M47" s="37">
        <f>$C$8/2-J47</f>
        <v>0.21543778801843327</v>
      </c>
      <c r="O47" s="36" t="s">
        <v>221</v>
      </c>
      <c r="P47" s="37">
        <f>C8*G47</f>
        <v>122.72299314239611</v>
      </c>
      <c r="R47" s="36" t="s">
        <v>296</v>
      </c>
      <c r="S47" s="1">
        <f>P46*(0.5+J46/$C$8)</f>
        <v>105.13632782822256</v>
      </c>
      <c r="T47" s="1">
        <f t="shared" si="2"/>
        <v>53.756699304451601</v>
      </c>
      <c r="U47" s="37">
        <f t="shared" si="3"/>
        <v>158.89302713267415</v>
      </c>
    </row>
    <row r="48" spans="2:21" ht="15" thickBot="1" x14ac:dyDescent="0.4">
      <c r="B48" s="59" t="s">
        <v>252</v>
      </c>
      <c r="C48" s="60">
        <f>SUM(C46:C47)</f>
        <v>527.11559999999997</v>
      </c>
      <c r="F48" s="36" t="s">
        <v>223</v>
      </c>
      <c r="G48" s="43">
        <f>$C$50</f>
        <v>13.125453812020975</v>
      </c>
      <c r="I48" s="44" t="s">
        <v>309</v>
      </c>
      <c r="J48" s="45">
        <f>C8/3</f>
        <v>3.1166666666666667</v>
      </c>
      <c r="L48" s="36" t="s">
        <v>310</v>
      </c>
      <c r="M48" s="37">
        <f>$C$8/2-J48</f>
        <v>1.5583333333333331</v>
      </c>
      <c r="O48" s="36" t="s">
        <v>224</v>
      </c>
      <c r="P48" s="37">
        <f>C8*G48</f>
        <v>122.72299314239611</v>
      </c>
      <c r="R48" s="36" t="s">
        <v>297</v>
      </c>
      <c r="S48" s="1">
        <f>P47</f>
        <v>122.72299314239611</v>
      </c>
      <c r="T48" s="1">
        <f t="shared" si="2"/>
        <v>62.748844061558813</v>
      </c>
      <c r="U48" s="37">
        <f t="shared" si="3"/>
        <v>185.47183720395492</v>
      </c>
    </row>
    <row r="49" spans="2:21" x14ac:dyDescent="0.35">
      <c r="B49" s="36" t="s">
        <v>253</v>
      </c>
      <c r="C49" s="43">
        <f>C11+2*C52</f>
        <v>49.58</v>
      </c>
      <c r="F49" s="36" t="s">
        <v>306</v>
      </c>
      <c r="G49" s="43">
        <f>C51</f>
        <v>6.3231740890688259</v>
      </c>
      <c r="O49" s="36" t="s">
        <v>122</v>
      </c>
      <c r="P49" s="37">
        <f>SUM(P44:P47)</f>
        <v>322.94612576217065</v>
      </c>
      <c r="R49" s="36" t="s">
        <v>298</v>
      </c>
      <c r="S49" s="1">
        <f>P44*(0.5-J44/$C$8)</f>
        <v>3.857267668016013</v>
      </c>
      <c r="T49" s="1">
        <f t="shared" si="2"/>
        <v>1.9722391151525309</v>
      </c>
      <c r="U49" s="37">
        <f t="shared" si="3"/>
        <v>5.8295067831685436</v>
      </c>
    </row>
    <row r="50" spans="2:21" ht="15" thickBot="1" x14ac:dyDescent="0.4">
      <c r="B50" s="36" t="s">
        <v>254</v>
      </c>
      <c r="C50" s="43">
        <f>4/3*(C46/C49)</f>
        <v>13.125453812020975</v>
      </c>
      <c r="F50" s="44" t="s">
        <v>307</v>
      </c>
      <c r="G50" s="47">
        <f>(C8/C45)*C51</f>
        <v>4.7871803832221476</v>
      </c>
      <c r="O50" s="59" t="s">
        <v>305</v>
      </c>
      <c r="P50" s="43">
        <f>C46-P49</f>
        <v>165.12387423782934</v>
      </c>
      <c r="R50" s="36" t="s">
        <v>299</v>
      </c>
      <c r="S50" s="1">
        <f>P45*(0.5-J45/$C$8)</f>
        <v>3.8572676680160152</v>
      </c>
      <c r="T50" s="1">
        <f t="shared" si="2"/>
        <v>1.972239115152532</v>
      </c>
      <c r="U50" s="37">
        <f t="shared" si="3"/>
        <v>5.8295067831685472</v>
      </c>
    </row>
    <row r="51" spans="2:21" ht="15" thickBot="1" x14ac:dyDescent="0.4">
      <c r="B51" s="44" t="s">
        <v>255</v>
      </c>
      <c r="C51" s="47">
        <f>2*C47/C45</f>
        <v>6.3231740890688259</v>
      </c>
      <c r="O51" s="36" t="s">
        <v>312</v>
      </c>
      <c r="P51" s="37">
        <f>C8*(G50+G49)/2</f>
        <v>51.940907157960297</v>
      </c>
      <c r="R51" s="70" t="s">
        <v>300</v>
      </c>
      <c r="S51" s="87">
        <f>P46*(0.5-J46/$C$8)</f>
        <v>2.5123807591676517</v>
      </c>
      <c r="T51" s="87">
        <f t="shared" si="2"/>
        <v>1.2845921081581737</v>
      </c>
      <c r="U51" s="78">
        <f t="shared" si="3"/>
        <v>3.7969728673258256</v>
      </c>
    </row>
    <row r="52" spans="2:21" ht="15" thickBot="1" x14ac:dyDescent="0.4">
      <c r="B52" s="79" t="s">
        <v>9</v>
      </c>
      <c r="C52" s="107">
        <f>0.03*C7+0.48</f>
        <v>6.09</v>
      </c>
      <c r="O52" s="36" t="s">
        <v>313</v>
      </c>
      <c r="P52" s="37">
        <f>G50*(C8)/2</f>
        <v>22.380068291563539</v>
      </c>
      <c r="R52" s="79" t="s">
        <v>318</v>
      </c>
      <c r="S52" s="109">
        <f>SUM(S45:S51)</f>
        <v>322.94612576217054</v>
      </c>
      <c r="T52" s="109">
        <f ca="1">SUM(T45:T56)</f>
        <v>293.62488566789062</v>
      </c>
      <c r="U52" s="80">
        <f>SUM(U45:U51)</f>
        <v>488.06999999999994</v>
      </c>
    </row>
    <row r="53" spans="2:21" ht="15" thickBot="1" x14ac:dyDescent="0.4">
      <c r="O53" s="44" t="s">
        <v>122</v>
      </c>
      <c r="P53" s="45">
        <f>SUM(P51:P52)</f>
        <v>74.320975449523843</v>
      </c>
      <c r="R53" s="68" t="s">
        <v>314</v>
      </c>
      <c r="S53" s="108">
        <f>P51*(0.5-J47/$C$8)</f>
        <v>1.1967950958055373</v>
      </c>
      <c r="T53" s="108">
        <v>0</v>
      </c>
      <c r="U53" s="67">
        <f>SUM(S53:T53)*(C47/P53)</f>
        <v>0.628753623188406</v>
      </c>
    </row>
    <row r="54" spans="2:21" ht="15" thickBot="1" x14ac:dyDescent="0.4">
      <c r="B54" s="33" t="s">
        <v>226</v>
      </c>
      <c r="C54" s="61" t="s">
        <v>227</v>
      </c>
      <c r="R54" s="36" t="s">
        <v>315</v>
      </c>
      <c r="S54" s="1">
        <f>P51*(0.5+J47/$C$8)</f>
        <v>50.744112062154763</v>
      </c>
      <c r="T54" s="1">
        <v>0</v>
      </c>
      <c r="U54" s="37">
        <f>SUM(S54:T54)*(C47/P53)</f>
        <v>26.659153623188402</v>
      </c>
    </row>
    <row r="55" spans="2:21" x14ac:dyDescent="0.35">
      <c r="B55" s="50" t="s">
        <v>228</v>
      </c>
      <c r="C55" s="51">
        <f>U45</f>
        <v>29.147533915842722</v>
      </c>
      <c r="R55" s="36" t="s">
        <v>316</v>
      </c>
      <c r="S55" s="1">
        <f>P52*(0.5-J48/$C$8)</f>
        <v>3.7300113819272558</v>
      </c>
      <c r="T55" s="1">
        <v>0</v>
      </c>
      <c r="U55" s="37">
        <f>SUM(S55:T55)*(C47/P53)</f>
        <v>1.9596154589371975</v>
      </c>
    </row>
    <row r="56" spans="2:21" ht="15" thickBot="1" x14ac:dyDescent="0.4">
      <c r="B56" s="52" t="s">
        <v>229</v>
      </c>
      <c r="C56" s="62">
        <f>U46+U49</f>
        <v>104.93112209703378</v>
      </c>
      <c r="R56" s="70" t="s">
        <v>317</v>
      </c>
      <c r="S56" s="87">
        <f>P52*(0.5+J48/$C$8)</f>
        <v>18.650056909636284</v>
      </c>
      <c r="T56" s="87">
        <v>0</v>
      </c>
      <c r="U56" s="78">
        <f>SUM(S56:T56)*(C47/P53)</f>
        <v>9.7980772946859904</v>
      </c>
    </row>
    <row r="57" spans="2:21" ht="15" thickBot="1" x14ac:dyDescent="0.4">
      <c r="B57" s="52" t="s">
        <v>230</v>
      </c>
      <c r="C57" s="62">
        <f>U47+U50</f>
        <v>164.72253391584269</v>
      </c>
      <c r="R57" s="79" t="s">
        <v>319</v>
      </c>
      <c r="S57" s="109">
        <f>SUM(S53:S56)</f>
        <v>74.320975449523843</v>
      </c>
      <c r="T57" s="109">
        <f>SUM(T53:T56)</f>
        <v>0</v>
      </c>
      <c r="U57" s="80">
        <f>SUM(U53:U56)</f>
        <v>39.045599999999993</v>
      </c>
    </row>
    <row r="58" spans="2:21" ht="15" thickBot="1" x14ac:dyDescent="0.4">
      <c r="B58" s="52" t="s">
        <v>231</v>
      </c>
      <c r="C58" s="62">
        <f>U51+U48</f>
        <v>189.26881007128074</v>
      </c>
      <c r="R58" s="110" t="s">
        <v>122</v>
      </c>
      <c r="S58" s="111">
        <f>SUM(S45:S51,S53:S56)</f>
        <v>397.26710121169447</v>
      </c>
      <c r="T58" s="111">
        <f>SUM(T45:T51,T53:T56)</f>
        <v>165.12387423782928</v>
      </c>
      <c r="U58" s="112">
        <f>SUM(U45:U51,U53:U56)</f>
        <v>527.11559999999986</v>
      </c>
    </row>
    <row r="59" spans="2:21" x14ac:dyDescent="0.35">
      <c r="B59" s="52" t="s">
        <v>232</v>
      </c>
      <c r="C59" s="62">
        <f>0</f>
        <v>0</v>
      </c>
    </row>
    <row r="60" spans="2:21" x14ac:dyDescent="0.35">
      <c r="B60" s="52" t="s">
        <v>233</v>
      </c>
      <c r="C60" s="62">
        <v>0</v>
      </c>
    </row>
    <row r="61" spans="2:21" x14ac:dyDescent="0.35">
      <c r="B61" s="52" t="s">
        <v>234</v>
      </c>
      <c r="C61" s="62">
        <v>0</v>
      </c>
    </row>
    <row r="62" spans="2:21" x14ac:dyDescent="0.35">
      <c r="B62" s="52" t="s">
        <v>235</v>
      </c>
      <c r="C62" s="62">
        <v>0</v>
      </c>
    </row>
    <row r="63" spans="2:21" x14ac:dyDescent="0.35">
      <c r="B63" s="52" t="s">
        <v>236</v>
      </c>
      <c r="C63" s="62">
        <v>0</v>
      </c>
    </row>
    <row r="64" spans="2:21" x14ac:dyDescent="0.35">
      <c r="B64" s="52" t="s">
        <v>237</v>
      </c>
      <c r="C64" s="62">
        <v>0</v>
      </c>
    </row>
    <row r="65" spans="2:3" x14ac:dyDescent="0.35">
      <c r="B65" s="52" t="s">
        <v>238</v>
      </c>
      <c r="C65" s="62">
        <v>0</v>
      </c>
    </row>
    <row r="66" spans="2:3" x14ac:dyDescent="0.35">
      <c r="B66" s="52" t="s">
        <v>239</v>
      </c>
      <c r="C66" s="62">
        <v>0</v>
      </c>
    </row>
    <row r="67" spans="2:3" x14ac:dyDescent="0.35">
      <c r="B67" s="52" t="s">
        <v>240</v>
      </c>
      <c r="C67" s="62">
        <v>0</v>
      </c>
    </row>
    <row r="68" spans="2:3" x14ac:dyDescent="0.35">
      <c r="B68" s="52" t="s">
        <v>241</v>
      </c>
      <c r="C68" s="62">
        <v>0</v>
      </c>
    </row>
    <row r="69" spans="2:3" x14ac:dyDescent="0.35">
      <c r="B69" s="52" t="s">
        <v>242</v>
      </c>
      <c r="C69" s="62">
        <v>0</v>
      </c>
    </row>
    <row r="70" spans="2:3" x14ac:dyDescent="0.35">
      <c r="B70" s="52" t="s">
        <v>243</v>
      </c>
      <c r="C70" s="62">
        <v>0</v>
      </c>
    </row>
    <row r="71" spans="2:3" x14ac:dyDescent="0.35">
      <c r="B71" s="52" t="s">
        <v>244</v>
      </c>
      <c r="C71" s="62">
        <v>0</v>
      </c>
    </row>
    <row r="72" spans="2:3" x14ac:dyDescent="0.35">
      <c r="B72" s="52" t="s">
        <v>245</v>
      </c>
      <c r="C72" s="62">
        <v>0</v>
      </c>
    </row>
    <row r="73" spans="2:3" x14ac:dyDescent="0.35">
      <c r="B73" s="52" t="s">
        <v>246</v>
      </c>
      <c r="C73" s="62">
        <f>U53+U54</f>
        <v>27.287907246376808</v>
      </c>
    </row>
    <row r="74" spans="2:3" ht="15" thickBot="1" x14ac:dyDescent="0.4">
      <c r="B74" s="55" t="s">
        <v>247</v>
      </c>
      <c r="C74" s="63">
        <f>U55+U56</f>
        <v>11.757692753623187</v>
      </c>
    </row>
    <row r="75" spans="2:3" ht="15" thickBot="1" x14ac:dyDescent="0.4">
      <c r="B75" s="64" t="s">
        <v>122</v>
      </c>
      <c r="C75" s="65">
        <f>SUM(C55:C74)</f>
        <v>527.11559999999986</v>
      </c>
    </row>
    <row r="79" spans="2:3" ht="18.5" x14ac:dyDescent="0.45">
      <c r="B79" s="359" t="s">
        <v>256</v>
      </c>
      <c r="C79" s="360"/>
    </row>
    <row r="80" spans="2:3" ht="15" thickBot="1" x14ac:dyDescent="0.4"/>
    <row r="81" spans="2:9" ht="15" thickBot="1" x14ac:dyDescent="0.4">
      <c r="B81" s="357" t="s">
        <v>3</v>
      </c>
      <c r="C81" s="358"/>
      <c r="E81" t="s">
        <v>320</v>
      </c>
      <c r="H81" s="33" t="s">
        <v>226</v>
      </c>
      <c r="I81" s="61" t="s">
        <v>227</v>
      </c>
    </row>
    <row r="82" spans="2:9" x14ac:dyDescent="0.35">
      <c r="B82" s="66" t="s">
        <v>257</v>
      </c>
      <c r="C82" s="67">
        <f>C8</f>
        <v>9.35</v>
      </c>
      <c r="E82" s="36" t="s">
        <v>271</v>
      </c>
      <c r="F82" s="38">
        <f>(C91/C7)*((0.726-0.296*(C95/C8)))</f>
        <v>23.783834094268546</v>
      </c>
      <c r="H82" s="50" t="s">
        <v>228</v>
      </c>
      <c r="I82" s="51">
        <f>C82*F82</f>
        <v>222.37884878141088</v>
      </c>
    </row>
    <row r="83" spans="2:9" x14ac:dyDescent="0.35">
      <c r="B83" s="68" t="s">
        <v>258</v>
      </c>
      <c r="C83" s="69">
        <f>C82*6</f>
        <v>56.099999999999994</v>
      </c>
      <c r="E83" s="36" t="s">
        <v>272</v>
      </c>
      <c r="F83" s="38">
        <f>(C91/C7)*1.21</f>
        <v>38.960168974952175</v>
      </c>
      <c r="H83" s="52" t="s">
        <v>229</v>
      </c>
      <c r="I83" s="62">
        <f>I82+F85*$C$82</f>
        <v>240.11619017320987</v>
      </c>
    </row>
    <row r="84" spans="2:9" x14ac:dyDescent="0.35">
      <c r="B84" s="36" t="s">
        <v>259</v>
      </c>
      <c r="C84" s="38">
        <f>C83/C7</f>
        <v>0.3</v>
      </c>
      <c r="E84" s="36" t="s">
        <v>273</v>
      </c>
      <c r="F84" s="38">
        <f>(C91/C7)*((0.637+0.381*(C95/C8)))</f>
        <v>19.985617947989894</v>
      </c>
      <c r="H84" s="52" t="s">
        <v>230</v>
      </c>
      <c r="I84" s="62">
        <f>I83+F85*C82</f>
        <v>257.85353156500884</v>
      </c>
    </row>
    <row r="85" spans="2:9" x14ac:dyDescent="0.35">
      <c r="B85" s="36" t="s">
        <v>260</v>
      </c>
      <c r="C85" s="38">
        <f>(4*10^-6*C7^3.1019)*1000</f>
        <v>44574.396370669907</v>
      </c>
      <c r="E85" s="36" t="s">
        <v>274</v>
      </c>
      <c r="F85" s="38">
        <f>2*$C$82*(F83-F82)/(1.1*C7-$C$83)</f>
        <v>1.8970418600854535</v>
      </c>
      <c r="H85" s="52" t="s">
        <v>231</v>
      </c>
      <c r="I85" s="62">
        <f>I84+F85*C82</f>
        <v>275.5908729568078</v>
      </c>
    </row>
    <row r="86" spans="2:9" ht="17" thickBot="1" x14ac:dyDescent="0.5">
      <c r="B86" s="36" t="s">
        <v>261</v>
      </c>
      <c r="C86" s="38">
        <f>-(2*10^(-6))*(C7^2)+0.0016*C7+0.6001</f>
        <v>0.82936199999999993</v>
      </c>
      <c r="E86" s="44" t="s">
        <v>275</v>
      </c>
      <c r="F86" s="46">
        <f>2*C82*(F83-F84)/(0.9*C7-C83)</f>
        <v>3.1624251711603799</v>
      </c>
      <c r="H86" s="52" t="s">
        <v>232</v>
      </c>
      <c r="I86" s="62">
        <f>I85+F85*C82</f>
        <v>293.32821434860676</v>
      </c>
    </row>
    <row r="87" spans="2:9" x14ac:dyDescent="0.35">
      <c r="B87" s="36" t="s">
        <v>262</v>
      </c>
      <c r="C87" s="38">
        <f>C85/C86</f>
        <v>53745.404745659805</v>
      </c>
      <c r="H87" s="52" t="s">
        <v>233</v>
      </c>
      <c r="I87" s="62">
        <f>I86+F85*C82</f>
        <v>311.06555574040573</v>
      </c>
    </row>
    <row r="88" spans="2:9" ht="16.5" x14ac:dyDescent="0.45">
      <c r="B88" s="36" t="s">
        <v>263</v>
      </c>
      <c r="C88" s="38">
        <f>(2*(10^(-6))*(C7^2)-0.0012*C7+0.2763)</f>
        <v>0.121838</v>
      </c>
      <c r="H88" s="52" t="s">
        <v>234</v>
      </c>
      <c r="I88" s="62">
        <f>I87+F85*C82</f>
        <v>328.80289713220469</v>
      </c>
    </row>
    <row r="89" spans="2:9" ht="16.5" x14ac:dyDescent="0.45">
      <c r="B89" s="36" t="s">
        <v>264</v>
      </c>
      <c r="C89" s="38">
        <f>C88*C87</f>
        <v>6548.2326234016991</v>
      </c>
      <c r="H89" s="52" t="s">
        <v>235</v>
      </c>
      <c r="I89" s="62">
        <f>I88+F85*C82</f>
        <v>346.54023852400366</v>
      </c>
    </row>
    <row r="90" spans="2:9" ht="16.5" x14ac:dyDescent="0.45">
      <c r="B90" s="36" t="s">
        <v>265</v>
      </c>
      <c r="C90" s="38">
        <f>C75</f>
        <v>527.11559999999986</v>
      </c>
      <c r="H90" s="52" t="s">
        <v>236</v>
      </c>
      <c r="I90" s="62">
        <f>F83*C82</f>
        <v>364.27757991580285</v>
      </c>
    </row>
    <row r="91" spans="2:9" ht="17" thickBot="1" x14ac:dyDescent="0.5">
      <c r="B91" s="70" t="s">
        <v>266</v>
      </c>
      <c r="C91" s="71">
        <f>C89-C90</f>
        <v>6021.117023401699</v>
      </c>
      <c r="H91" s="52" t="s">
        <v>237</v>
      </c>
      <c r="I91" s="62">
        <f>I90</f>
        <v>364.27757991580285</v>
      </c>
    </row>
    <row r="92" spans="2:9" x14ac:dyDescent="0.35">
      <c r="B92" s="34" t="s">
        <v>267</v>
      </c>
      <c r="C92" s="40">
        <f>(1.1*C7-C83)/2</f>
        <v>74.800000000000011</v>
      </c>
      <c r="H92" s="52" t="s">
        <v>238</v>
      </c>
      <c r="I92" s="62">
        <f>I91</f>
        <v>364.27757991580285</v>
      </c>
    </row>
    <row r="93" spans="2:9" x14ac:dyDescent="0.35">
      <c r="B93" s="36" t="s">
        <v>268</v>
      </c>
      <c r="C93" s="38">
        <f>(0.9*C7-C83)/2</f>
        <v>56.100000000000009</v>
      </c>
      <c r="H93" s="52" t="s">
        <v>239</v>
      </c>
      <c r="I93" s="62">
        <f>I92</f>
        <v>364.27757991580285</v>
      </c>
    </row>
    <row r="94" spans="2:9" ht="16.5" x14ac:dyDescent="0.45">
      <c r="B94" s="36" t="s">
        <v>269</v>
      </c>
      <c r="C94" s="38">
        <f>C91/C7</f>
        <v>32.198486756158822</v>
      </c>
      <c r="H94" s="52" t="s">
        <v>240</v>
      </c>
      <c r="I94" s="62">
        <f>I93</f>
        <v>364.27757991580285</v>
      </c>
    </row>
    <row r="95" spans="2:9" ht="16.5" x14ac:dyDescent="0.45">
      <c r="B95" s="36" t="s">
        <v>270</v>
      </c>
      <c r="C95" s="38">
        <f>(C84-0.7)</f>
        <v>-0.39999999999999997</v>
      </c>
      <c r="H95" s="52" t="s">
        <v>241</v>
      </c>
      <c r="I95" s="62">
        <f>I94</f>
        <v>364.27757991580285</v>
      </c>
    </row>
    <row r="96" spans="2:9" x14ac:dyDescent="0.35">
      <c r="H96" s="52" t="s">
        <v>242</v>
      </c>
      <c r="I96" s="62">
        <f>I97+F86*C82</f>
        <v>334.70890456545334</v>
      </c>
    </row>
    <row r="97" spans="2:24" x14ac:dyDescent="0.35">
      <c r="H97" s="52" t="s">
        <v>243</v>
      </c>
      <c r="I97" s="62">
        <f>I98+F86*C82</f>
        <v>305.14022921510377</v>
      </c>
    </row>
    <row r="98" spans="2:24" x14ac:dyDescent="0.35">
      <c r="H98" s="52" t="s">
        <v>244</v>
      </c>
      <c r="I98" s="62">
        <f>I99+F86*C82</f>
        <v>275.57155386475421</v>
      </c>
    </row>
    <row r="99" spans="2:24" x14ac:dyDescent="0.35">
      <c r="H99" s="52" t="s">
        <v>245</v>
      </c>
      <c r="I99" s="62">
        <f>I100+F86*C82</f>
        <v>246.00287851440464</v>
      </c>
    </row>
    <row r="100" spans="2:24" x14ac:dyDescent="0.35">
      <c r="H100" s="52" t="s">
        <v>246</v>
      </c>
      <c r="I100" s="62">
        <f>I101+F86*C82</f>
        <v>216.43420316405508</v>
      </c>
    </row>
    <row r="101" spans="2:24" ht="15" thickBot="1" x14ac:dyDescent="0.4">
      <c r="H101" s="72" t="s">
        <v>247</v>
      </c>
      <c r="I101" s="62">
        <f>F84*C82</f>
        <v>186.86552781370551</v>
      </c>
    </row>
    <row r="102" spans="2:24" x14ac:dyDescent="0.35">
      <c r="H102" s="114" t="s">
        <v>122</v>
      </c>
      <c r="I102" s="115">
        <f>SUM(I82:I101)</f>
        <v>6026.0651258539528</v>
      </c>
    </row>
    <row r="103" spans="2:24" x14ac:dyDescent="0.35">
      <c r="H103" s="113" t="s">
        <v>95</v>
      </c>
      <c r="I103" s="22">
        <f>C91-I102</f>
        <v>-4.9481024522538064</v>
      </c>
    </row>
    <row r="104" spans="2:24" x14ac:dyDescent="0.35">
      <c r="I104">
        <f>(I103/C91)*100</f>
        <v>-8.2179144385045005E-2</v>
      </c>
    </row>
    <row r="105" spans="2:24" ht="18.5" x14ac:dyDescent="0.45">
      <c r="B105" s="359" t="s">
        <v>276</v>
      </c>
      <c r="C105" s="360"/>
    </row>
    <row r="106" spans="2:24" ht="15" thickBot="1" x14ac:dyDescent="0.4"/>
    <row r="107" spans="2:24" ht="15" thickBot="1" x14ac:dyDescent="0.4">
      <c r="B107" s="361" t="s">
        <v>3</v>
      </c>
      <c r="C107" s="362"/>
      <c r="E107" s="357" t="s">
        <v>277</v>
      </c>
      <c r="F107" s="358"/>
      <c r="H107" s="34" t="s">
        <v>202</v>
      </c>
      <c r="I107" s="35">
        <f>(C82/2)-(C82/6)*((F111-F110)/(F111+F110))</f>
        <v>4.155555555555555</v>
      </c>
      <c r="K107" s="34" t="s">
        <v>203</v>
      </c>
      <c r="L107" s="35">
        <f>C8/2-I107</f>
        <v>0.51944444444444482</v>
      </c>
      <c r="N107" s="34" t="s">
        <v>204</v>
      </c>
      <c r="O107" s="35">
        <f>C8*(F111+F110)/2</f>
        <v>96.155053862442472</v>
      </c>
      <c r="Q107" s="1" t="s">
        <v>294</v>
      </c>
      <c r="R107" s="1">
        <f>O107*((1/2)+(I107/C8))</f>
        <v>90.813106425640115</v>
      </c>
    </row>
    <row r="108" spans="2:24" ht="15" thickBot="1" x14ac:dyDescent="0.4">
      <c r="B108" s="36" t="s">
        <v>278</v>
      </c>
      <c r="C108" s="73">
        <f>C87-C85</f>
        <v>9171.0083749898986</v>
      </c>
      <c r="E108" s="74" t="s">
        <v>279</v>
      </c>
      <c r="F108" s="75">
        <f>F109/3</f>
        <v>6.8559753199602476</v>
      </c>
      <c r="H108" s="36" t="s">
        <v>208</v>
      </c>
      <c r="I108" s="37">
        <f>(C82/2)-(C8/6)*((F112-F111)/(F112+F111))</f>
        <v>4.3633333333333333</v>
      </c>
      <c r="K108" s="36" t="s">
        <v>209</v>
      </c>
      <c r="L108" s="37">
        <f>C8/2-I108</f>
        <v>0.31166666666666654</v>
      </c>
      <c r="N108" s="36" t="s">
        <v>210</v>
      </c>
      <c r="O108" s="37">
        <f>C8*((F112+F111)/2)</f>
        <v>160.2584231040708</v>
      </c>
      <c r="Q108" s="1" t="s">
        <v>323</v>
      </c>
      <c r="R108" s="1">
        <f>O107*((1/2)-(I107/C82))</f>
        <v>5.3419474368023616</v>
      </c>
    </row>
    <row r="109" spans="2:24" ht="17" thickBot="1" x14ac:dyDescent="0.5">
      <c r="B109" s="36" t="s">
        <v>280</v>
      </c>
      <c r="C109" s="73">
        <f>C108-C38-C75-I102</f>
        <v>1602.5842310407079</v>
      </c>
      <c r="E109" s="76" t="s">
        <v>281</v>
      </c>
      <c r="F109" s="77">
        <f>C113/(10/3)/C82</f>
        <v>20.567925959880743</v>
      </c>
      <c r="N109" s="79" t="s">
        <v>122</v>
      </c>
      <c r="O109" s="80">
        <f ca="1">SUM(O107:O110)</f>
        <v>255.03639073175174</v>
      </c>
      <c r="Q109" s="1" t="s">
        <v>295</v>
      </c>
      <c r="R109" s="1">
        <f>O108*((1/2)+(I108/C82))</f>
        <v>154.91647566726843</v>
      </c>
      <c r="X109" t="s">
        <v>326</v>
      </c>
    </row>
    <row r="110" spans="2:24" x14ac:dyDescent="0.35">
      <c r="B110" s="36" t="s">
        <v>282</v>
      </c>
      <c r="C110" s="73">
        <f>C10</f>
        <v>28.049999999999997</v>
      </c>
      <c r="E110" s="76" t="s">
        <v>201</v>
      </c>
      <c r="F110" s="77">
        <f>F108</f>
        <v>6.8559753199602476</v>
      </c>
      <c r="Q110" s="1" t="s">
        <v>299</v>
      </c>
      <c r="R110" s="1">
        <f>O108*((1/2)-(I108/C82))</f>
        <v>5.341947436802359</v>
      </c>
      <c r="X110">
        <f>C110/2</f>
        <v>14.024999999999999</v>
      </c>
    </row>
    <row r="111" spans="2:24" x14ac:dyDescent="0.35">
      <c r="B111" s="36" t="s">
        <v>283</v>
      </c>
      <c r="C111" s="73">
        <f>C109*(0.5)</f>
        <v>801.29211552035395</v>
      </c>
      <c r="E111" s="76" t="s">
        <v>207</v>
      </c>
      <c r="F111" s="77">
        <f>(2*F109)/3</f>
        <v>13.711950639920495</v>
      </c>
      <c r="Q111" s="1" t="s">
        <v>296</v>
      </c>
      <c r="R111" s="1">
        <f>F112*C82</f>
        <v>192.31010772488494</v>
      </c>
      <c r="X111">
        <f>((F109-F108)/(X110))</f>
        <v>0.97767919001215664</v>
      </c>
    </row>
    <row r="112" spans="2:24" ht="17" thickBot="1" x14ac:dyDescent="0.5">
      <c r="B112" s="36" t="s">
        <v>284</v>
      </c>
      <c r="C112" s="73">
        <f>C109*(0.03)</f>
        <v>48.077526931221236</v>
      </c>
      <c r="E112" s="76" t="s">
        <v>213</v>
      </c>
      <c r="F112" s="77">
        <f>F109</f>
        <v>20.567925959880743</v>
      </c>
      <c r="H112" s="36" t="s">
        <v>321</v>
      </c>
      <c r="I112" s="1">
        <f>0.5*C110*C14</f>
        <v>366.05250000000001</v>
      </c>
      <c r="Q112" s="1" t="s">
        <v>324</v>
      </c>
      <c r="R112" s="1">
        <f>F113*C82</f>
        <v>192.31010772488494</v>
      </c>
    </row>
    <row r="113" spans="2:28" ht="17" thickBot="1" x14ac:dyDescent="0.5">
      <c r="B113" s="36" t="s">
        <v>285</v>
      </c>
      <c r="C113" s="73">
        <f>C109*(0.4)</f>
        <v>641.0336924162832</v>
      </c>
      <c r="E113" s="76" t="s">
        <v>218</v>
      </c>
      <c r="F113" s="77">
        <f>F109</f>
        <v>20.567925959880743</v>
      </c>
      <c r="H113" s="36" t="s">
        <v>322</v>
      </c>
      <c r="I113" s="1">
        <f>0.008*C14*C7</f>
        <v>39.0456</v>
      </c>
      <c r="Q113" s="79" t="s">
        <v>122</v>
      </c>
      <c r="R113" s="80">
        <f>SUM(R107:R112)</f>
        <v>641.03369241628309</v>
      </c>
    </row>
    <row r="114" spans="2:28" ht="15" thickBot="1" x14ac:dyDescent="0.4">
      <c r="B114" s="44" t="s">
        <v>286</v>
      </c>
      <c r="C114" s="81">
        <f>C109*(0.07)</f>
        <v>112.18089617284956</v>
      </c>
    </row>
    <row r="115" spans="2:28" ht="15" thickBot="1" x14ac:dyDescent="0.4">
      <c r="C115" s="98">
        <f>SUM(C111:C114)</f>
        <v>1602.5842310407079</v>
      </c>
    </row>
    <row r="116" spans="2:28" ht="15" thickBot="1" x14ac:dyDescent="0.4">
      <c r="B116" s="33" t="s">
        <v>226</v>
      </c>
      <c r="C116" s="61" t="s">
        <v>227</v>
      </c>
      <c r="U116" s="49" t="s">
        <v>226</v>
      </c>
      <c r="V116" s="82" t="s">
        <v>283</v>
      </c>
      <c r="W116" s="83" t="s">
        <v>284</v>
      </c>
      <c r="X116" s="83" t="s">
        <v>285</v>
      </c>
      <c r="Y116" s="119" t="s">
        <v>286</v>
      </c>
      <c r="Z116" s="120" t="s">
        <v>325</v>
      </c>
    </row>
    <row r="117" spans="2:28" ht="15" thickBot="1" x14ac:dyDescent="0.4">
      <c r="B117" s="50" t="s">
        <v>228</v>
      </c>
      <c r="C117" s="51">
        <f t="shared" ref="C117:C136" si="4">SUM(V117:Y117)</f>
        <v>88.142132707238943</v>
      </c>
      <c r="U117" s="50" t="s">
        <v>228</v>
      </c>
      <c r="V117" s="84">
        <f t="shared" ref="V117:V136" si="5">$C$111/20</f>
        <v>40.0646057760177</v>
      </c>
      <c r="W117" s="121">
        <f>C112</f>
        <v>48.077526931221236</v>
      </c>
      <c r="X117" s="1">
        <f>AO109</f>
        <v>0</v>
      </c>
      <c r="Y117" s="1">
        <f>AP109</f>
        <v>0</v>
      </c>
      <c r="Z117" s="5">
        <f>SUM(V117:Y117)</f>
        <v>88.142132707238943</v>
      </c>
      <c r="AB117" s="8"/>
    </row>
    <row r="118" spans="2:28" ht="15" thickBot="1" x14ac:dyDescent="0.4">
      <c r="B118" s="52" t="s">
        <v>229</v>
      </c>
      <c r="C118" s="51">
        <f t="shared" si="4"/>
        <v>130.8777122016578</v>
      </c>
      <c r="U118" s="52" t="s">
        <v>229</v>
      </c>
      <c r="V118" s="86">
        <f t="shared" si="5"/>
        <v>40.0646057760177</v>
      </c>
      <c r="W118" s="1">
        <f>0</f>
        <v>0</v>
      </c>
      <c r="X118" s="1">
        <f>R107</f>
        <v>90.813106425640115</v>
      </c>
      <c r="Y118" s="1">
        <f>AL108</f>
        <v>0</v>
      </c>
      <c r="Z118" s="5">
        <f t="shared" ref="Z118:Z137" si="6">SUM(V118:Y118)</f>
        <v>130.8777122016578</v>
      </c>
    </row>
    <row r="119" spans="2:28" ht="15" thickBot="1" x14ac:dyDescent="0.4">
      <c r="B119" s="52" t="s">
        <v>230</v>
      </c>
      <c r="C119" s="51">
        <f t="shared" si="4"/>
        <v>200.32302888008849</v>
      </c>
      <c r="U119" s="52" t="s">
        <v>230</v>
      </c>
      <c r="V119" s="86">
        <f t="shared" si="5"/>
        <v>40.0646057760177</v>
      </c>
      <c r="W119" s="1">
        <f>0</f>
        <v>0</v>
      </c>
      <c r="X119" s="1">
        <f>R109+R108</f>
        <v>160.2584231040708</v>
      </c>
      <c r="Y119" s="1">
        <f>AL109</f>
        <v>0</v>
      </c>
      <c r="Z119" s="5">
        <f t="shared" si="6"/>
        <v>200.32302888008849</v>
      </c>
    </row>
    <row r="120" spans="2:28" ht="15" thickBot="1" x14ac:dyDescent="0.4">
      <c r="B120" s="52" t="s">
        <v>231</v>
      </c>
      <c r="C120" s="51">
        <f t="shared" si="4"/>
        <v>237.716660937705</v>
      </c>
      <c r="U120" s="52" t="s">
        <v>231</v>
      </c>
      <c r="V120" s="86">
        <f t="shared" si="5"/>
        <v>40.0646057760177</v>
      </c>
      <c r="W120" s="1">
        <f>0</f>
        <v>0</v>
      </c>
      <c r="X120" s="1">
        <f>R111+R110</f>
        <v>197.65205516168731</v>
      </c>
      <c r="Y120" s="1">
        <f>AL110</f>
        <v>0</v>
      </c>
      <c r="Z120" s="5">
        <f t="shared" si="6"/>
        <v>237.716660937705</v>
      </c>
    </row>
    <row r="121" spans="2:28" ht="15" thickBot="1" x14ac:dyDescent="0.4">
      <c r="B121" s="52" t="s">
        <v>232</v>
      </c>
      <c r="C121" s="51">
        <f t="shared" si="4"/>
        <v>232.37471350090266</v>
      </c>
      <c r="U121" s="52" t="s">
        <v>232</v>
      </c>
      <c r="V121" s="86">
        <f t="shared" si="5"/>
        <v>40.0646057760177</v>
      </c>
      <c r="W121" s="1">
        <f>0</f>
        <v>0</v>
      </c>
      <c r="X121" s="1">
        <f>R112</f>
        <v>192.31010772488494</v>
      </c>
      <c r="Y121" s="1">
        <f>AL111</f>
        <v>0</v>
      </c>
      <c r="Z121" s="5">
        <f t="shared" si="6"/>
        <v>232.37471350090266</v>
      </c>
    </row>
    <row r="122" spans="2:28" ht="15" thickBot="1" x14ac:dyDescent="0.4">
      <c r="B122" s="52" t="s">
        <v>233</v>
      </c>
      <c r="C122" s="51">
        <f t="shared" si="4"/>
        <v>40.0646057760177</v>
      </c>
      <c r="U122" s="52" t="s">
        <v>233</v>
      </c>
      <c r="V122" s="86">
        <f t="shared" si="5"/>
        <v>40.0646057760177</v>
      </c>
      <c r="W122" s="1">
        <f>0</f>
        <v>0</v>
      </c>
      <c r="X122" s="1">
        <v>0</v>
      </c>
      <c r="Y122" s="1">
        <v>0</v>
      </c>
      <c r="Z122" s="5">
        <f t="shared" si="6"/>
        <v>40.0646057760177</v>
      </c>
    </row>
    <row r="123" spans="2:28" ht="15" thickBot="1" x14ac:dyDescent="0.4">
      <c r="B123" s="52" t="s">
        <v>234</v>
      </c>
      <c r="C123" s="51">
        <f t="shared" si="4"/>
        <v>40.0646057760177</v>
      </c>
      <c r="U123" s="52" t="s">
        <v>234</v>
      </c>
      <c r="V123" s="86">
        <f t="shared" si="5"/>
        <v>40.0646057760177</v>
      </c>
      <c r="W123" s="1">
        <f>0</f>
        <v>0</v>
      </c>
      <c r="X123" s="1">
        <v>0</v>
      </c>
      <c r="Y123" s="1">
        <v>0</v>
      </c>
      <c r="Z123" s="5">
        <f t="shared" si="6"/>
        <v>40.0646057760177</v>
      </c>
    </row>
    <row r="124" spans="2:28" ht="15" thickBot="1" x14ac:dyDescent="0.4">
      <c r="B124" s="52" t="s">
        <v>235</v>
      </c>
      <c r="C124" s="51">
        <f t="shared" si="4"/>
        <v>40.0646057760177</v>
      </c>
      <c r="U124" s="52" t="s">
        <v>235</v>
      </c>
      <c r="V124" s="86">
        <f t="shared" si="5"/>
        <v>40.0646057760177</v>
      </c>
      <c r="W124" s="1">
        <f>0</f>
        <v>0</v>
      </c>
      <c r="X124" s="1">
        <v>0</v>
      </c>
      <c r="Y124" s="116">
        <v>0</v>
      </c>
      <c r="Z124" s="5">
        <f t="shared" si="6"/>
        <v>40.0646057760177</v>
      </c>
    </row>
    <row r="125" spans="2:28" ht="15" thickBot="1" x14ac:dyDescent="0.4">
      <c r="B125" s="52" t="s">
        <v>236</v>
      </c>
      <c r="C125" s="51">
        <f t="shared" si="4"/>
        <v>40.0646057760177</v>
      </c>
      <c r="U125" s="52" t="s">
        <v>236</v>
      </c>
      <c r="V125" s="86">
        <f t="shared" si="5"/>
        <v>40.0646057760177</v>
      </c>
      <c r="W125" s="1">
        <f>0</f>
        <v>0</v>
      </c>
      <c r="X125" s="1">
        <v>0</v>
      </c>
      <c r="Y125" s="116">
        <v>0</v>
      </c>
      <c r="Z125" s="5">
        <f t="shared" si="6"/>
        <v>40.0646057760177</v>
      </c>
    </row>
    <row r="126" spans="2:28" ht="15" thickBot="1" x14ac:dyDescent="0.4">
      <c r="B126" s="52" t="s">
        <v>237</v>
      </c>
      <c r="C126" s="51">
        <f t="shared" si="4"/>
        <v>40.0646057760177</v>
      </c>
      <c r="U126" s="52" t="s">
        <v>237</v>
      </c>
      <c r="V126" s="86">
        <f t="shared" si="5"/>
        <v>40.0646057760177</v>
      </c>
      <c r="W126" s="1">
        <f>0</f>
        <v>0</v>
      </c>
      <c r="X126" s="1">
        <v>0</v>
      </c>
      <c r="Y126" s="116">
        <v>0</v>
      </c>
      <c r="Z126" s="5">
        <f t="shared" si="6"/>
        <v>40.0646057760177</v>
      </c>
    </row>
    <row r="127" spans="2:28" ht="15" thickBot="1" x14ac:dyDescent="0.4">
      <c r="B127" s="52" t="s">
        <v>238</v>
      </c>
      <c r="C127" s="51">
        <f t="shared" si="4"/>
        <v>40.0646057760177</v>
      </c>
      <c r="U127" s="52" t="s">
        <v>238</v>
      </c>
      <c r="V127" s="86">
        <f t="shared" si="5"/>
        <v>40.0646057760177</v>
      </c>
      <c r="W127" s="1">
        <f>0</f>
        <v>0</v>
      </c>
      <c r="X127" s="1">
        <v>0</v>
      </c>
      <c r="Y127" s="116">
        <v>0</v>
      </c>
      <c r="Z127" s="5">
        <f t="shared" si="6"/>
        <v>40.0646057760177</v>
      </c>
    </row>
    <row r="128" spans="2:28" ht="15" thickBot="1" x14ac:dyDescent="0.4">
      <c r="B128" s="52" t="s">
        <v>239</v>
      </c>
      <c r="C128" s="51">
        <f t="shared" si="4"/>
        <v>40.0646057760177</v>
      </c>
      <c r="U128" s="52" t="s">
        <v>239</v>
      </c>
      <c r="V128" s="86">
        <f t="shared" si="5"/>
        <v>40.0646057760177</v>
      </c>
      <c r="W128" s="1">
        <f>0</f>
        <v>0</v>
      </c>
      <c r="X128" s="1">
        <v>0</v>
      </c>
      <c r="Y128" s="116">
        <v>0</v>
      </c>
      <c r="Z128" s="5">
        <f t="shared" si="6"/>
        <v>40.0646057760177</v>
      </c>
    </row>
    <row r="129" spans="2:26" ht="15" thickBot="1" x14ac:dyDescent="0.4">
      <c r="B129" s="52" t="s">
        <v>240</v>
      </c>
      <c r="C129" s="51">
        <f t="shared" si="4"/>
        <v>40.0646057760177</v>
      </c>
      <c r="U129" s="52" t="s">
        <v>240</v>
      </c>
      <c r="V129" s="86">
        <f t="shared" si="5"/>
        <v>40.0646057760177</v>
      </c>
      <c r="W129" s="1">
        <f>0</f>
        <v>0</v>
      </c>
      <c r="X129" s="1">
        <v>0</v>
      </c>
      <c r="Y129" s="116">
        <v>0</v>
      </c>
      <c r="Z129" s="5">
        <f t="shared" si="6"/>
        <v>40.0646057760177</v>
      </c>
    </row>
    <row r="130" spans="2:26" ht="15" thickBot="1" x14ac:dyDescent="0.4">
      <c r="B130" s="52" t="s">
        <v>241</v>
      </c>
      <c r="C130" s="51">
        <f t="shared" si="4"/>
        <v>40.0646057760177</v>
      </c>
      <c r="U130" s="52" t="s">
        <v>241</v>
      </c>
      <c r="V130" s="86">
        <f t="shared" si="5"/>
        <v>40.0646057760177</v>
      </c>
      <c r="W130" s="1">
        <f>0</f>
        <v>0</v>
      </c>
      <c r="X130" s="1">
        <v>0</v>
      </c>
      <c r="Y130" s="116">
        <v>0</v>
      </c>
      <c r="Z130" s="5">
        <f t="shared" si="6"/>
        <v>40.0646057760177</v>
      </c>
    </row>
    <row r="131" spans="2:26" ht="15" thickBot="1" x14ac:dyDescent="0.4">
      <c r="B131" s="52" t="s">
        <v>242</v>
      </c>
      <c r="C131" s="51">
        <f t="shared" si="4"/>
        <v>40.0646057760177</v>
      </c>
      <c r="U131" s="52" t="s">
        <v>242</v>
      </c>
      <c r="V131" s="86">
        <f t="shared" si="5"/>
        <v>40.0646057760177</v>
      </c>
      <c r="W131" s="1">
        <f>0</f>
        <v>0</v>
      </c>
      <c r="X131" s="1">
        <v>0</v>
      </c>
      <c r="Y131" s="116">
        <v>0</v>
      </c>
      <c r="Z131" s="5">
        <f t="shared" si="6"/>
        <v>40.0646057760177</v>
      </c>
    </row>
    <row r="132" spans="2:26" ht="15" thickBot="1" x14ac:dyDescent="0.4">
      <c r="B132" s="52" t="s">
        <v>243</v>
      </c>
      <c r="C132" s="51">
        <f t="shared" si="4"/>
        <v>40.0646057760177</v>
      </c>
      <c r="U132" s="52" t="s">
        <v>243</v>
      </c>
      <c r="V132" s="86">
        <f t="shared" si="5"/>
        <v>40.0646057760177</v>
      </c>
      <c r="W132" s="1">
        <f>0</f>
        <v>0</v>
      </c>
      <c r="X132" s="1">
        <v>0</v>
      </c>
      <c r="Y132" s="116">
        <v>0</v>
      </c>
      <c r="Z132" s="5">
        <f t="shared" si="6"/>
        <v>40.0646057760177</v>
      </c>
    </row>
    <row r="133" spans="2:26" ht="15" thickBot="1" x14ac:dyDescent="0.4">
      <c r="B133" s="52" t="s">
        <v>244</v>
      </c>
      <c r="C133" s="51">
        <f t="shared" si="4"/>
        <v>40.0646057760177</v>
      </c>
      <c r="U133" s="52" t="s">
        <v>244</v>
      </c>
      <c r="V133" s="86">
        <f t="shared" si="5"/>
        <v>40.0646057760177</v>
      </c>
      <c r="W133" s="1">
        <f>0</f>
        <v>0</v>
      </c>
      <c r="X133" s="1">
        <v>0</v>
      </c>
      <c r="Y133" s="116">
        <v>0</v>
      </c>
      <c r="Z133" s="5">
        <f t="shared" si="6"/>
        <v>40.0646057760177</v>
      </c>
    </row>
    <row r="134" spans="2:26" ht="15" thickBot="1" x14ac:dyDescent="0.4">
      <c r="B134" s="52" t="s">
        <v>245</v>
      </c>
      <c r="C134" s="51">
        <f t="shared" si="4"/>
        <v>40.0646057760177</v>
      </c>
      <c r="U134" s="52" t="s">
        <v>245</v>
      </c>
      <c r="V134" s="86">
        <f t="shared" si="5"/>
        <v>40.0646057760177</v>
      </c>
      <c r="W134" s="1">
        <f>0</f>
        <v>0</v>
      </c>
      <c r="X134" s="1">
        <v>0</v>
      </c>
      <c r="Y134" s="116">
        <v>0</v>
      </c>
      <c r="Z134" s="5">
        <f t="shared" si="6"/>
        <v>40.0646057760177</v>
      </c>
    </row>
    <row r="135" spans="2:26" ht="15" thickBot="1" x14ac:dyDescent="0.4">
      <c r="B135" s="52" t="s">
        <v>246</v>
      </c>
      <c r="C135" s="51">
        <f t="shared" si="4"/>
        <v>40.0646057760177</v>
      </c>
      <c r="U135" s="52" t="s">
        <v>246</v>
      </c>
      <c r="V135" s="86">
        <f t="shared" si="5"/>
        <v>40.0646057760177</v>
      </c>
      <c r="W135" s="1">
        <f>0</f>
        <v>0</v>
      </c>
      <c r="X135" s="1">
        <f>AO114</f>
        <v>0</v>
      </c>
      <c r="Y135" s="116">
        <f>AP114</f>
        <v>0</v>
      </c>
      <c r="Z135" s="5">
        <f t="shared" si="6"/>
        <v>40.0646057760177</v>
      </c>
    </row>
    <row r="136" spans="2:26" ht="15" thickBot="1" x14ac:dyDescent="0.4">
      <c r="B136" s="55" t="s">
        <v>247</v>
      </c>
      <c r="C136" s="51">
        <f t="shared" si="4"/>
        <v>152.24550194886726</v>
      </c>
      <c r="U136" s="55" t="s">
        <v>247</v>
      </c>
      <c r="V136" s="86">
        <f t="shared" si="5"/>
        <v>40.0646057760177</v>
      </c>
      <c r="W136">
        <f>0</f>
        <v>0</v>
      </c>
      <c r="X136" s="87">
        <f>AO115</f>
        <v>0</v>
      </c>
      <c r="Y136" s="117">
        <f>C114</f>
        <v>112.18089617284956</v>
      </c>
      <c r="Z136" s="5">
        <f t="shared" si="6"/>
        <v>152.24550194886726</v>
      </c>
    </row>
    <row r="137" spans="2:26" ht="15" thickBot="1" x14ac:dyDescent="0.4">
      <c r="B137" s="114" t="s">
        <v>122</v>
      </c>
      <c r="C137" s="115">
        <f>SUM(C117:C136)</f>
        <v>1602.5842310407086</v>
      </c>
      <c r="U137" s="88" t="s">
        <v>122</v>
      </c>
      <c r="V137" s="89">
        <f>SUM(V117:V136)</f>
        <v>801.29211552035417</v>
      </c>
      <c r="W137" s="90">
        <f>SUM(W117:W136)</f>
        <v>48.077526931221236</v>
      </c>
      <c r="X137" s="90">
        <f>SUM(X117:X136)</f>
        <v>641.0336924162832</v>
      </c>
      <c r="Y137" s="118">
        <f>SUM(Y117:Y136)</f>
        <v>112.18089617284956</v>
      </c>
      <c r="Z137" s="5">
        <f t="shared" si="6"/>
        <v>1602.5842310407081</v>
      </c>
    </row>
    <row r="138" spans="2:26" x14ac:dyDescent="0.35">
      <c r="B138" s="113" t="s">
        <v>95</v>
      </c>
      <c r="C138" s="121">
        <f>C115-C137</f>
        <v>0</v>
      </c>
    </row>
    <row r="141" spans="2:26" ht="18.5" x14ac:dyDescent="0.45">
      <c r="B141" s="359" t="s">
        <v>287</v>
      </c>
      <c r="C141" s="359"/>
      <c r="D141" s="359"/>
      <c r="E141" s="359"/>
    </row>
    <row r="143" spans="2:26" ht="15" thickBot="1" x14ac:dyDescent="0.4"/>
    <row r="144" spans="2:26" ht="15" thickBot="1" x14ac:dyDescent="0.4">
      <c r="B144" s="91" t="s">
        <v>226</v>
      </c>
      <c r="C144" s="92" t="s">
        <v>288</v>
      </c>
      <c r="D144" s="93" t="s">
        <v>289</v>
      </c>
      <c r="E144" s="93" t="s">
        <v>290</v>
      </c>
      <c r="F144" s="94" t="s">
        <v>291</v>
      </c>
      <c r="G144" s="95" t="s">
        <v>122</v>
      </c>
    </row>
    <row r="145" spans="2:7" ht="15" thickBot="1" x14ac:dyDescent="0.4">
      <c r="B145" s="50" t="s">
        <v>228</v>
      </c>
      <c r="C145" s="51">
        <f>C18</f>
        <v>72.558849206349208</v>
      </c>
      <c r="D145" s="96">
        <f>C55</f>
        <v>29.147533915842722</v>
      </c>
      <c r="E145" s="96">
        <f>I82</f>
        <v>222.37884878141088</v>
      </c>
      <c r="F145" s="97">
        <f>C117</f>
        <v>88.142132707238943</v>
      </c>
      <c r="G145" s="51">
        <f>SUM(C145:F145)</f>
        <v>412.22736461084173</v>
      </c>
    </row>
    <row r="146" spans="2:7" ht="15" thickBot="1" x14ac:dyDescent="0.4">
      <c r="B146" s="52" t="s">
        <v>229</v>
      </c>
      <c r="C146" s="51">
        <f t="shared" ref="C146:C164" si="7">C19</f>
        <v>261.21185714285713</v>
      </c>
      <c r="D146" s="96">
        <f t="shared" ref="D146:D164" si="8">C56</f>
        <v>104.93112209703378</v>
      </c>
      <c r="E146" s="96">
        <f t="shared" ref="E146:E164" si="9">I83</f>
        <v>240.11619017320987</v>
      </c>
      <c r="F146" s="97">
        <f t="shared" ref="F146:F164" si="10">C118</f>
        <v>130.8777122016578</v>
      </c>
      <c r="G146" s="62">
        <f t="shared" ref="G146:G164" si="11">SUM(C146:F146)</f>
        <v>737.13688161475864</v>
      </c>
    </row>
    <row r="147" spans="2:7" ht="15" thickBot="1" x14ac:dyDescent="0.4">
      <c r="B147" s="52" t="s">
        <v>230</v>
      </c>
      <c r="C147" s="51">
        <f t="shared" si="7"/>
        <v>404.00767238095239</v>
      </c>
      <c r="D147" s="96">
        <f t="shared" si="8"/>
        <v>164.72253391584269</v>
      </c>
      <c r="E147" s="96">
        <f t="shared" si="9"/>
        <v>257.85353156500884</v>
      </c>
      <c r="F147" s="97">
        <f t="shared" si="10"/>
        <v>200.32302888008849</v>
      </c>
      <c r="G147" s="62">
        <f t="shared" si="11"/>
        <v>1026.9067667418924</v>
      </c>
    </row>
    <row r="148" spans="2:7" ht="15" thickBot="1" x14ac:dyDescent="0.4">
      <c r="B148" s="52" t="s">
        <v>231</v>
      </c>
      <c r="C148" s="51">
        <f t="shared" si="7"/>
        <v>277.46503936507935</v>
      </c>
      <c r="D148" s="96">
        <f t="shared" si="8"/>
        <v>189.26881007128074</v>
      </c>
      <c r="E148" s="96">
        <f t="shared" si="9"/>
        <v>275.5908729568078</v>
      </c>
      <c r="F148" s="97">
        <f t="shared" si="10"/>
        <v>237.716660937705</v>
      </c>
      <c r="G148" s="62">
        <f t="shared" si="11"/>
        <v>980.0413833308728</v>
      </c>
    </row>
    <row r="149" spans="2:7" ht="15" thickBot="1" x14ac:dyDescent="0.4">
      <c r="B149" s="52" t="s">
        <v>232</v>
      </c>
      <c r="C149" s="51">
        <f t="shared" si="7"/>
        <v>0</v>
      </c>
      <c r="D149" s="96">
        <f t="shared" si="8"/>
        <v>0</v>
      </c>
      <c r="E149" s="96">
        <f t="shared" si="9"/>
        <v>293.32821434860676</v>
      </c>
      <c r="F149" s="97">
        <f t="shared" si="10"/>
        <v>232.37471350090266</v>
      </c>
      <c r="G149" s="62">
        <f t="shared" si="11"/>
        <v>525.70292784950948</v>
      </c>
    </row>
    <row r="150" spans="2:7" ht="15" thickBot="1" x14ac:dyDescent="0.4">
      <c r="B150" s="52" t="s">
        <v>233</v>
      </c>
      <c r="C150" s="51">
        <f t="shared" si="7"/>
        <v>0</v>
      </c>
      <c r="D150" s="96">
        <f t="shared" si="8"/>
        <v>0</v>
      </c>
      <c r="E150" s="96">
        <f t="shared" si="9"/>
        <v>311.06555574040573</v>
      </c>
      <c r="F150" s="97">
        <f t="shared" si="10"/>
        <v>40.0646057760177</v>
      </c>
      <c r="G150" s="62">
        <f t="shared" si="11"/>
        <v>351.13016151642341</v>
      </c>
    </row>
    <row r="151" spans="2:7" ht="15" thickBot="1" x14ac:dyDescent="0.4">
      <c r="B151" s="52" t="s">
        <v>234</v>
      </c>
      <c r="C151" s="51">
        <f t="shared" si="7"/>
        <v>0</v>
      </c>
      <c r="D151" s="96">
        <f t="shared" si="8"/>
        <v>0</v>
      </c>
      <c r="E151" s="96">
        <f t="shared" si="9"/>
        <v>328.80289713220469</v>
      </c>
      <c r="F151" s="97">
        <f t="shared" si="10"/>
        <v>40.0646057760177</v>
      </c>
      <c r="G151" s="62">
        <f t="shared" si="11"/>
        <v>368.86750290822238</v>
      </c>
    </row>
    <row r="152" spans="2:7" ht="15" thickBot="1" x14ac:dyDescent="0.4">
      <c r="B152" s="52" t="s">
        <v>235</v>
      </c>
      <c r="C152" s="51">
        <f t="shared" si="7"/>
        <v>0</v>
      </c>
      <c r="D152" s="96">
        <f t="shared" si="8"/>
        <v>0</v>
      </c>
      <c r="E152" s="96">
        <f t="shared" si="9"/>
        <v>346.54023852400366</v>
      </c>
      <c r="F152" s="97">
        <f t="shared" si="10"/>
        <v>40.0646057760177</v>
      </c>
      <c r="G152" s="62">
        <f t="shared" si="11"/>
        <v>386.60484430002134</v>
      </c>
    </row>
    <row r="153" spans="2:7" ht="15" thickBot="1" x14ac:dyDescent="0.4">
      <c r="B153" s="52" t="s">
        <v>236</v>
      </c>
      <c r="C153" s="51">
        <f t="shared" si="7"/>
        <v>0</v>
      </c>
      <c r="D153" s="96">
        <f t="shared" si="8"/>
        <v>0</v>
      </c>
      <c r="E153" s="96">
        <f t="shared" si="9"/>
        <v>364.27757991580285</v>
      </c>
      <c r="F153" s="97">
        <f t="shared" si="10"/>
        <v>40.0646057760177</v>
      </c>
      <c r="G153" s="62">
        <f t="shared" si="11"/>
        <v>404.34218569182053</v>
      </c>
    </row>
    <row r="154" spans="2:7" ht="15" thickBot="1" x14ac:dyDescent="0.4">
      <c r="B154" s="52" t="s">
        <v>237</v>
      </c>
      <c r="C154" s="51">
        <f t="shared" si="7"/>
        <v>0</v>
      </c>
      <c r="D154" s="96">
        <f t="shared" si="8"/>
        <v>0</v>
      </c>
      <c r="E154" s="96">
        <f t="shared" si="9"/>
        <v>364.27757991580285</v>
      </c>
      <c r="F154" s="97">
        <f t="shared" si="10"/>
        <v>40.0646057760177</v>
      </c>
      <c r="G154" s="62">
        <f t="shared" si="11"/>
        <v>404.34218569182053</v>
      </c>
    </row>
    <row r="155" spans="2:7" ht="15" thickBot="1" x14ac:dyDescent="0.4">
      <c r="B155" s="52" t="s">
        <v>238</v>
      </c>
      <c r="C155" s="51">
        <f t="shared" si="7"/>
        <v>0</v>
      </c>
      <c r="D155" s="96">
        <f t="shared" si="8"/>
        <v>0</v>
      </c>
      <c r="E155" s="96">
        <f t="shared" si="9"/>
        <v>364.27757991580285</v>
      </c>
      <c r="F155" s="97">
        <f t="shared" si="10"/>
        <v>40.0646057760177</v>
      </c>
      <c r="G155" s="62">
        <f t="shared" si="11"/>
        <v>404.34218569182053</v>
      </c>
    </row>
    <row r="156" spans="2:7" ht="15" thickBot="1" x14ac:dyDescent="0.4">
      <c r="B156" s="52" t="s">
        <v>239</v>
      </c>
      <c r="C156" s="51">
        <f t="shared" si="7"/>
        <v>0</v>
      </c>
      <c r="D156" s="96">
        <f t="shared" si="8"/>
        <v>0</v>
      </c>
      <c r="E156" s="96">
        <f t="shared" si="9"/>
        <v>364.27757991580285</v>
      </c>
      <c r="F156" s="97">
        <f t="shared" si="10"/>
        <v>40.0646057760177</v>
      </c>
      <c r="G156" s="62">
        <f t="shared" si="11"/>
        <v>404.34218569182053</v>
      </c>
    </row>
    <row r="157" spans="2:7" ht="15" thickBot="1" x14ac:dyDescent="0.4">
      <c r="B157" s="52" t="s">
        <v>240</v>
      </c>
      <c r="C157" s="51">
        <f t="shared" si="7"/>
        <v>0</v>
      </c>
      <c r="D157" s="96">
        <f t="shared" si="8"/>
        <v>0</v>
      </c>
      <c r="E157" s="96">
        <f t="shared" si="9"/>
        <v>364.27757991580285</v>
      </c>
      <c r="F157" s="97">
        <f t="shared" si="10"/>
        <v>40.0646057760177</v>
      </c>
      <c r="G157" s="62">
        <f t="shared" si="11"/>
        <v>404.34218569182053</v>
      </c>
    </row>
    <row r="158" spans="2:7" ht="15" thickBot="1" x14ac:dyDescent="0.4">
      <c r="B158" s="52" t="s">
        <v>241</v>
      </c>
      <c r="C158" s="51">
        <f t="shared" si="7"/>
        <v>0</v>
      </c>
      <c r="D158" s="96">
        <f t="shared" si="8"/>
        <v>0</v>
      </c>
      <c r="E158" s="96">
        <f t="shared" si="9"/>
        <v>364.27757991580285</v>
      </c>
      <c r="F158" s="97">
        <f t="shared" si="10"/>
        <v>40.0646057760177</v>
      </c>
      <c r="G158" s="62">
        <f t="shared" si="11"/>
        <v>404.34218569182053</v>
      </c>
    </row>
    <row r="159" spans="2:7" ht="15" thickBot="1" x14ac:dyDescent="0.4">
      <c r="B159" s="52" t="s">
        <v>242</v>
      </c>
      <c r="C159" s="51">
        <f t="shared" si="7"/>
        <v>0</v>
      </c>
      <c r="D159" s="96">
        <f t="shared" si="8"/>
        <v>0</v>
      </c>
      <c r="E159" s="96">
        <f t="shared" si="9"/>
        <v>334.70890456545334</v>
      </c>
      <c r="F159" s="97">
        <f t="shared" si="10"/>
        <v>40.0646057760177</v>
      </c>
      <c r="G159" s="62">
        <f t="shared" si="11"/>
        <v>374.77351034147102</v>
      </c>
    </row>
    <row r="160" spans="2:7" ht="15" thickBot="1" x14ac:dyDescent="0.4">
      <c r="B160" s="52" t="s">
        <v>243</v>
      </c>
      <c r="C160" s="51">
        <f t="shared" si="7"/>
        <v>0</v>
      </c>
      <c r="D160" s="96">
        <f t="shared" si="8"/>
        <v>0</v>
      </c>
      <c r="E160" s="96">
        <f t="shared" si="9"/>
        <v>305.14022921510377</v>
      </c>
      <c r="F160" s="97">
        <f t="shared" si="10"/>
        <v>40.0646057760177</v>
      </c>
      <c r="G160" s="62">
        <f t="shared" si="11"/>
        <v>345.20483499112146</v>
      </c>
    </row>
    <row r="161" spans="2:7" ht="15" thickBot="1" x14ac:dyDescent="0.4">
      <c r="B161" s="52" t="s">
        <v>244</v>
      </c>
      <c r="C161" s="51">
        <f t="shared" si="7"/>
        <v>0</v>
      </c>
      <c r="D161" s="96">
        <f t="shared" si="8"/>
        <v>0</v>
      </c>
      <c r="E161" s="96">
        <f t="shared" si="9"/>
        <v>275.57155386475421</v>
      </c>
      <c r="F161" s="97">
        <f t="shared" si="10"/>
        <v>40.0646057760177</v>
      </c>
      <c r="G161" s="62">
        <f t="shared" si="11"/>
        <v>315.63615964077189</v>
      </c>
    </row>
    <row r="162" spans="2:7" ht="15" thickBot="1" x14ac:dyDescent="0.4">
      <c r="B162" s="52" t="s">
        <v>245</v>
      </c>
      <c r="C162" s="51">
        <f t="shared" si="7"/>
        <v>0</v>
      </c>
      <c r="D162" s="96">
        <f t="shared" si="8"/>
        <v>0</v>
      </c>
      <c r="E162" s="96">
        <f t="shared" si="9"/>
        <v>246.00287851440464</v>
      </c>
      <c r="F162" s="97">
        <f t="shared" si="10"/>
        <v>40.0646057760177</v>
      </c>
      <c r="G162" s="62">
        <f t="shared" si="11"/>
        <v>286.06748429042233</v>
      </c>
    </row>
    <row r="163" spans="2:7" ht="15" thickBot="1" x14ac:dyDescent="0.4">
      <c r="B163" s="52" t="s">
        <v>246</v>
      </c>
      <c r="C163" s="51">
        <f t="shared" si="7"/>
        <v>0</v>
      </c>
      <c r="D163" s="96">
        <f t="shared" si="8"/>
        <v>27.287907246376808</v>
      </c>
      <c r="E163" s="96">
        <f t="shared" si="9"/>
        <v>216.43420316405508</v>
      </c>
      <c r="F163" s="97">
        <f t="shared" si="10"/>
        <v>40.0646057760177</v>
      </c>
      <c r="G163" s="62">
        <f t="shared" si="11"/>
        <v>283.78671618644961</v>
      </c>
    </row>
    <row r="164" spans="2:7" ht="15" thickBot="1" x14ac:dyDescent="0.4">
      <c r="B164" s="55" t="s">
        <v>247</v>
      </c>
      <c r="C164" s="51">
        <f t="shared" si="7"/>
        <v>0</v>
      </c>
      <c r="D164" s="96">
        <f t="shared" si="8"/>
        <v>11.757692753623187</v>
      </c>
      <c r="E164" s="96">
        <f t="shared" si="9"/>
        <v>186.86552781370551</v>
      </c>
      <c r="F164" s="97">
        <f t="shared" si="10"/>
        <v>152.24550194886726</v>
      </c>
      <c r="G164" s="63">
        <f t="shared" si="11"/>
        <v>350.86872251619593</v>
      </c>
    </row>
    <row r="165" spans="2:7" ht="15" thickBot="1" x14ac:dyDescent="0.4">
      <c r="B165" s="88" t="s">
        <v>122</v>
      </c>
      <c r="C165" s="58">
        <f>SUM(C145:C164)</f>
        <v>1015.243418095238</v>
      </c>
      <c r="D165" s="58">
        <f>SUM(D145:D164)</f>
        <v>527.11559999999986</v>
      </c>
      <c r="E165" s="58">
        <f>SUM(E145:E164)</f>
        <v>6026.0651258539528</v>
      </c>
      <c r="F165" s="58">
        <f>SUM(F145:F164)</f>
        <v>1602.5842310407086</v>
      </c>
      <c r="G165" s="58">
        <f>SUM(G145:G164)</f>
        <v>9171.0083749898949</v>
      </c>
    </row>
    <row r="166" spans="2:7" x14ac:dyDescent="0.35">
      <c r="F166" t="s">
        <v>95</v>
      </c>
      <c r="G166" s="98">
        <f>C108-G165</f>
        <v>0</v>
      </c>
    </row>
    <row r="168" spans="2:7" x14ac:dyDescent="0.35">
      <c r="F168" s="98"/>
    </row>
    <row r="171" spans="2:7" x14ac:dyDescent="0.35">
      <c r="B171" s="335" t="str" cm="1">
        <f t="array" ref="B171:C171">B13:C13</f>
        <v>Lo (m)</v>
      </c>
      <c r="C171" s="336">
        <v>7.4799999999999995</v>
      </c>
    </row>
    <row r="172" spans="2:7" x14ac:dyDescent="0.35">
      <c r="B172" s="335" t="str" cm="1">
        <f t="array" ref="B172:C172">B10:C10</f>
        <v>Ler (m)</v>
      </c>
      <c r="C172" s="336">
        <v>28.049999999999997</v>
      </c>
    </row>
    <row r="173" spans="2:7" x14ac:dyDescent="0.35">
      <c r="B173" s="335" t="str" cm="1">
        <f t="array" ref="B173:C173">B12:C12</f>
        <v>Xer (m)</v>
      </c>
      <c r="C173" s="336">
        <v>22.439999999999998</v>
      </c>
    </row>
    <row r="174" spans="2:7" x14ac:dyDescent="0.35">
      <c r="B174" s="335" t="str" cm="1">
        <f t="array" ref="B174:C174">F10:G10</f>
        <v>Neff (hp)</v>
      </c>
      <c r="C174" s="336">
        <v>10239.504799999999</v>
      </c>
    </row>
    <row r="175" spans="2:7" x14ac:dyDescent="0.35">
      <c r="B175" s="335" t="str" cm="1">
        <f t="array" ref="B175:C175">F11:G11</f>
        <v>Pm (t)</v>
      </c>
      <c r="C175" s="336">
        <v>1023.95048</v>
      </c>
    </row>
    <row r="176" spans="2:7" x14ac:dyDescent="0.35">
      <c r="B176" s="335" t="str" cm="1">
        <f t="array" ref="B176:C177">F13:G14</f>
        <v>Am (t/m)</v>
      </c>
      <c r="C176" s="336">
        <v>17.111471925133689</v>
      </c>
    </row>
    <row r="177" spans="2:3" x14ac:dyDescent="0.35">
      <c r="B177" s="335" t="str">
        <v>Bm (t/m)</v>
      </c>
      <c r="C177" s="336">
        <v>42.77867981283422</v>
      </c>
    </row>
  </sheetData>
  <mergeCells count="13">
    <mergeCell ref="B79:C79"/>
    <mergeCell ref="U6:V6"/>
    <mergeCell ref="R44:S44"/>
    <mergeCell ref="B1:D2"/>
    <mergeCell ref="B4:D4"/>
    <mergeCell ref="B6:C6"/>
    <mergeCell ref="B42:D42"/>
    <mergeCell ref="B44:C44"/>
    <mergeCell ref="B81:C81"/>
    <mergeCell ref="B105:C105"/>
    <mergeCell ref="B107:C107"/>
    <mergeCell ref="E107:F107"/>
    <mergeCell ref="B141:E1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A950-1D3E-49D6-90DD-D59A958CB414}">
  <sheetPr>
    <pageSetUpPr fitToPage="1"/>
  </sheetPr>
  <dimension ref="A1:Y53"/>
  <sheetViews>
    <sheetView topLeftCell="A25" zoomScale="77" zoomScaleNormal="142" workbookViewId="0">
      <selection activeCell="K64" sqref="K64"/>
    </sheetView>
  </sheetViews>
  <sheetFormatPr defaultRowHeight="14.5" x14ac:dyDescent="0.35"/>
  <cols>
    <col min="1" max="1" width="14.54296875" bestFit="1" customWidth="1"/>
    <col min="2" max="3" width="11.81640625" bestFit="1" customWidth="1"/>
    <col min="7" max="9" width="11.81640625" bestFit="1" customWidth="1"/>
    <col min="10" max="10" width="12.7265625" bestFit="1" customWidth="1"/>
  </cols>
  <sheetData>
    <row r="1" spans="1:25" x14ac:dyDescent="0.35">
      <c r="H1" t="s">
        <v>386</v>
      </c>
    </row>
    <row r="2" spans="1:25" ht="15" thickBot="1" x14ac:dyDescent="0.4">
      <c r="A2" s="369" t="s">
        <v>327</v>
      </c>
      <c r="B2" s="370"/>
      <c r="C2" s="370"/>
      <c r="D2" s="371"/>
    </row>
    <row r="3" spans="1:25" ht="15" thickBot="1" x14ac:dyDescent="0.4">
      <c r="A3" s="139"/>
      <c r="B3" s="134" t="s">
        <v>361</v>
      </c>
      <c r="C3" s="135" t="s">
        <v>362</v>
      </c>
      <c r="D3" s="136" t="s">
        <v>329</v>
      </c>
      <c r="E3" s="122" t="s">
        <v>38</v>
      </c>
      <c r="F3" s="122" t="s">
        <v>332</v>
      </c>
      <c r="G3" s="122" t="s">
        <v>333</v>
      </c>
      <c r="H3" s="122" t="s">
        <v>334</v>
      </c>
      <c r="I3" s="122" t="s">
        <v>335</v>
      </c>
      <c r="J3" s="122" t="s">
        <v>336</v>
      </c>
      <c r="K3" s="122" t="s">
        <v>337</v>
      </c>
      <c r="L3" s="122" t="s">
        <v>338</v>
      </c>
      <c r="M3" s="122" t="s">
        <v>339</v>
      </c>
      <c r="N3" s="122" t="s">
        <v>340</v>
      </c>
      <c r="O3" s="122" t="s">
        <v>341</v>
      </c>
      <c r="P3" s="122" t="s">
        <v>342</v>
      </c>
      <c r="Q3" s="122" t="s">
        <v>343</v>
      </c>
      <c r="R3" s="122" t="s">
        <v>344</v>
      </c>
      <c r="S3" s="122" t="s">
        <v>345</v>
      </c>
      <c r="T3" s="122" t="s">
        <v>346</v>
      </c>
      <c r="U3" s="122" t="s">
        <v>347</v>
      </c>
      <c r="V3" s="122" t="s">
        <v>348</v>
      </c>
      <c r="W3" s="122" t="s">
        <v>349</v>
      </c>
      <c r="X3" s="122" t="s">
        <v>350</v>
      </c>
      <c r="Y3" s="122" t="s">
        <v>36</v>
      </c>
    </row>
    <row r="4" spans="1:25" x14ac:dyDescent="0.35">
      <c r="A4" s="137" t="s">
        <v>371</v>
      </c>
      <c r="B4" s="125">
        <f>134.9205</f>
        <v>134.9205</v>
      </c>
      <c r="C4" s="125">
        <f t="shared" ref="C4:C12" si="0">B4*2</f>
        <v>269.84100000000001</v>
      </c>
      <c r="D4" s="126">
        <f t="shared" ref="D4:D12" si="1">C4/$C$13</f>
        <v>0.75918479655363369</v>
      </c>
      <c r="E4" s="143" t="b">
        <v>0</v>
      </c>
      <c r="F4" s="143" t="b">
        <v>0</v>
      </c>
      <c r="G4" s="143" t="b">
        <v>0</v>
      </c>
      <c r="H4" s="143" t="b">
        <v>0</v>
      </c>
      <c r="I4" s="143" t="b">
        <v>1</v>
      </c>
      <c r="J4" s="143" t="b">
        <v>1</v>
      </c>
      <c r="K4" s="143" t="b">
        <v>1</v>
      </c>
      <c r="L4" s="143" t="b">
        <v>1</v>
      </c>
      <c r="M4" s="143" t="b">
        <v>1</v>
      </c>
      <c r="N4" s="143" t="b">
        <v>1</v>
      </c>
      <c r="O4" s="143" t="b">
        <v>1</v>
      </c>
      <c r="P4" s="143" t="b">
        <v>1</v>
      </c>
      <c r="Q4" s="143" t="b">
        <v>1</v>
      </c>
      <c r="R4" s="143" t="b">
        <v>1</v>
      </c>
      <c r="S4" s="143" t="b">
        <v>1</v>
      </c>
      <c r="T4" s="143" t="b">
        <v>1</v>
      </c>
      <c r="U4" s="143" t="b">
        <v>1</v>
      </c>
      <c r="V4" s="143" t="b">
        <v>1</v>
      </c>
      <c r="W4" s="143" t="b">
        <v>1</v>
      </c>
      <c r="X4" s="143" t="b">
        <v>1</v>
      </c>
      <c r="Y4" s="143" t="b">
        <v>0</v>
      </c>
    </row>
    <row r="5" spans="1:25" x14ac:dyDescent="0.35">
      <c r="A5" s="137" t="s">
        <v>364</v>
      </c>
      <c r="B5" s="125">
        <f>5.48</f>
        <v>5.48</v>
      </c>
      <c r="C5" s="125">
        <f t="shared" si="0"/>
        <v>10.96</v>
      </c>
      <c r="D5" s="126">
        <f t="shared" si="1"/>
        <v>3.0835437795693855E-2</v>
      </c>
      <c r="E5" s="143" t="b">
        <v>0</v>
      </c>
      <c r="F5" s="143" t="b">
        <v>0</v>
      </c>
      <c r="G5" s="143" t="b">
        <v>0</v>
      </c>
      <c r="H5" s="143" t="b">
        <v>0</v>
      </c>
      <c r="I5" s="143" t="b">
        <v>1</v>
      </c>
      <c r="J5" s="143" t="b">
        <v>1</v>
      </c>
      <c r="K5" s="143" t="b">
        <v>1</v>
      </c>
      <c r="L5" s="143" t="b">
        <v>1</v>
      </c>
      <c r="M5" s="143" t="b">
        <v>1</v>
      </c>
      <c r="N5" s="143" t="b">
        <v>1</v>
      </c>
      <c r="O5" s="143" t="b">
        <v>1</v>
      </c>
      <c r="P5" s="143" t="b">
        <v>1</v>
      </c>
      <c r="Q5" s="143" t="b">
        <v>1</v>
      </c>
      <c r="R5" s="143" t="b">
        <v>1</v>
      </c>
      <c r="S5" s="143" t="b">
        <v>1</v>
      </c>
      <c r="T5" s="143" t="b">
        <v>1</v>
      </c>
      <c r="U5" s="143" t="b">
        <v>1</v>
      </c>
      <c r="V5" s="143" t="b">
        <v>1</v>
      </c>
      <c r="W5" s="143" t="b">
        <v>1</v>
      </c>
      <c r="X5" s="143" t="b">
        <v>1</v>
      </c>
      <c r="Y5" s="143" t="b">
        <v>0</v>
      </c>
    </row>
    <row r="6" spans="1:25" x14ac:dyDescent="0.35">
      <c r="A6" s="137" t="s">
        <v>365</v>
      </c>
      <c r="B6">
        <v>8.2200000000000006</v>
      </c>
      <c r="C6" s="125">
        <f t="shared" si="0"/>
        <v>16.440000000000001</v>
      </c>
      <c r="D6" s="126">
        <f t="shared" si="1"/>
        <v>4.6253156693540784E-2</v>
      </c>
      <c r="E6" s="143" t="b">
        <v>0</v>
      </c>
      <c r="F6" s="143" t="b">
        <v>0</v>
      </c>
      <c r="G6" s="143" t="b">
        <v>0</v>
      </c>
      <c r="H6" s="143" t="b">
        <v>0</v>
      </c>
      <c r="I6" s="143" t="b">
        <v>1</v>
      </c>
      <c r="J6" s="143" t="b">
        <v>1</v>
      </c>
      <c r="K6" s="143" t="b">
        <v>1</v>
      </c>
      <c r="L6" s="143" t="b">
        <v>1</v>
      </c>
      <c r="M6" s="143" t="b">
        <v>1</v>
      </c>
      <c r="N6" s="143" t="b">
        <v>1</v>
      </c>
      <c r="O6" s="143" t="b">
        <v>1</v>
      </c>
      <c r="P6" s="143" t="b">
        <v>1</v>
      </c>
      <c r="Q6" s="143" t="b">
        <v>1</v>
      </c>
      <c r="R6" s="143" t="b">
        <v>1</v>
      </c>
      <c r="S6" s="143" t="b">
        <v>1</v>
      </c>
      <c r="T6" s="143" t="b">
        <v>1</v>
      </c>
      <c r="U6" s="143" t="b">
        <v>1</v>
      </c>
      <c r="V6" s="143" t="b">
        <v>1</v>
      </c>
      <c r="W6" s="143" t="b">
        <v>1</v>
      </c>
      <c r="X6" s="143" t="b">
        <v>1</v>
      </c>
      <c r="Y6" s="143" t="b">
        <v>1</v>
      </c>
    </row>
    <row r="7" spans="1:25" x14ac:dyDescent="0.35">
      <c r="A7" s="137" t="s">
        <v>366</v>
      </c>
      <c r="B7">
        <f>10.6891</f>
        <v>10.6891</v>
      </c>
      <c r="C7" s="125">
        <f t="shared" si="0"/>
        <v>21.3782</v>
      </c>
      <c r="D7" s="126">
        <f t="shared" si="1"/>
        <v>6.0146547106195464E-2</v>
      </c>
      <c r="E7" s="143" t="b">
        <v>0</v>
      </c>
      <c r="F7" s="143" t="b">
        <v>0</v>
      </c>
      <c r="G7" s="143" t="b">
        <v>0</v>
      </c>
      <c r="H7" s="143" t="b">
        <v>0</v>
      </c>
      <c r="I7" s="143" t="b">
        <v>1</v>
      </c>
      <c r="J7" s="143" t="b">
        <v>1</v>
      </c>
      <c r="K7" s="143" t="b">
        <v>1</v>
      </c>
      <c r="L7" s="143" t="b">
        <v>1</v>
      </c>
      <c r="M7" s="143" t="b">
        <v>1</v>
      </c>
      <c r="N7" s="143" t="b">
        <v>1</v>
      </c>
      <c r="O7" s="143" t="b">
        <v>1</v>
      </c>
      <c r="P7" s="143" t="b">
        <v>1</v>
      </c>
      <c r="Q7" s="143" t="b">
        <v>1</v>
      </c>
      <c r="R7" s="143" t="b">
        <v>1</v>
      </c>
      <c r="S7" s="143" t="b">
        <v>1</v>
      </c>
      <c r="T7" s="143" t="b">
        <v>1</v>
      </c>
      <c r="U7" s="143" t="b">
        <v>1</v>
      </c>
      <c r="V7" s="143" t="b">
        <v>1</v>
      </c>
      <c r="W7" s="143" t="b">
        <v>1</v>
      </c>
      <c r="X7" s="143" t="b">
        <v>1</v>
      </c>
      <c r="Y7" s="143" t="b">
        <v>1</v>
      </c>
    </row>
    <row r="8" spans="1:25" x14ac:dyDescent="0.35">
      <c r="A8" s="137" t="s">
        <v>363</v>
      </c>
      <c r="B8" s="125">
        <f>1.9445</f>
        <v>1.9444999999999999</v>
      </c>
      <c r="C8" s="125">
        <f t="shared" si="0"/>
        <v>3.8889999999999998</v>
      </c>
      <c r="D8" s="126">
        <f t="shared" si="1"/>
        <v>1.0941516203234797E-2</v>
      </c>
      <c r="E8" s="143" t="b">
        <v>0</v>
      </c>
      <c r="F8" s="143" t="b">
        <v>0</v>
      </c>
      <c r="G8" s="143" t="b">
        <v>0</v>
      </c>
      <c r="H8" s="143" t="b">
        <v>0</v>
      </c>
      <c r="I8" s="143" t="b">
        <v>1</v>
      </c>
      <c r="J8" s="143" t="b">
        <v>1</v>
      </c>
      <c r="K8" s="143" t="b">
        <v>1</v>
      </c>
      <c r="L8" s="143" t="b">
        <v>1</v>
      </c>
      <c r="M8" s="143" t="b">
        <v>1</v>
      </c>
      <c r="N8" s="143" t="b">
        <v>1</v>
      </c>
      <c r="O8" s="143" t="b">
        <v>1</v>
      </c>
      <c r="P8" s="143" t="b">
        <v>1</v>
      </c>
      <c r="Q8" s="143" t="b">
        <v>1</v>
      </c>
      <c r="R8" s="143" t="b">
        <v>1</v>
      </c>
      <c r="S8" s="143" t="b">
        <v>1</v>
      </c>
      <c r="T8" s="143" t="b">
        <v>1</v>
      </c>
      <c r="U8" s="143" t="b">
        <v>1</v>
      </c>
      <c r="V8" s="143" t="b">
        <v>1</v>
      </c>
      <c r="W8" s="143" t="b">
        <v>1</v>
      </c>
      <c r="X8" s="143" t="b">
        <v>1</v>
      </c>
      <c r="Y8" s="143" t="b">
        <v>1</v>
      </c>
    </row>
    <row r="9" spans="1:25" x14ac:dyDescent="0.35">
      <c r="A9" s="137" t="s">
        <v>370</v>
      </c>
      <c r="B9" s="125">
        <f>4.1152</f>
        <v>4.1151999999999997</v>
      </c>
      <c r="C9" s="125">
        <f t="shared" si="0"/>
        <v>8.2303999999999995</v>
      </c>
      <c r="D9" s="126">
        <f t="shared" si="1"/>
        <v>2.3155838251248052E-2</v>
      </c>
      <c r="E9" s="143" t="b">
        <v>0</v>
      </c>
      <c r="F9" s="143" t="b">
        <v>0</v>
      </c>
      <c r="G9" s="143" t="b">
        <v>0</v>
      </c>
      <c r="H9" s="143" t="b">
        <v>0</v>
      </c>
      <c r="I9" s="143" t="b">
        <v>1</v>
      </c>
      <c r="J9" s="143" t="b">
        <v>1</v>
      </c>
      <c r="K9" s="143" t="b">
        <v>1</v>
      </c>
      <c r="L9" s="143" t="b">
        <v>1</v>
      </c>
      <c r="M9" s="143" t="b">
        <v>1</v>
      </c>
      <c r="N9" s="143" t="b">
        <v>1</v>
      </c>
      <c r="O9" s="143" t="b">
        <v>1</v>
      </c>
      <c r="P9" s="143" t="b">
        <v>1</v>
      </c>
      <c r="Q9" s="143" t="b">
        <v>1</v>
      </c>
      <c r="R9" s="143" t="b">
        <v>1</v>
      </c>
      <c r="S9" s="143" t="b">
        <v>1</v>
      </c>
      <c r="T9" s="143" t="b">
        <v>1</v>
      </c>
      <c r="U9" s="143" t="b">
        <v>1</v>
      </c>
      <c r="V9" s="143" t="b">
        <v>1</v>
      </c>
      <c r="W9" s="143" t="b">
        <v>1</v>
      </c>
      <c r="X9" s="143" t="b">
        <v>1</v>
      </c>
      <c r="Y9" s="143" t="b">
        <v>1</v>
      </c>
    </row>
    <row r="10" spans="1:25" x14ac:dyDescent="0.35">
      <c r="A10" s="137" t="s">
        <v>369</v>
      </c>
      <c r="B10" s="125">
        <f>4.1161</f>
        <v>4.1161000000000003</v>
      </c>
      <c r="C10" s="125">
        <f t="shared" si="0"/>
        <v>8.2322000000000006</v>
      </c>
      <c r="D10" s="126">
        <f t="shared" si="1"/>
        <v>2.3160902465484575E-2</v>
      </c>
      <c r="E10" s="143" t="b">
        <v>0</v>
      </c>
      <c r="F10" s="143" t="b">
        <v>0</v>
      </c>
      <c r="G10" s="143" t="b">
        <v>0</v>
      </c>
      <c r="H10" s="143" t="b">
        <v>0</v>
      </c>
      <c r="I10" s="143" t="b">
        <v>1</v>
      </c>
      <c r="J10" s="143" t="b">
        <v>1</v>
      </c>
      <c r="K10" s="143" t="b">
        <v>1</v>
      </c>
      <c r="L10" s="143" t="b">
        <v>1</v>
      </c>
      <c r="M10" s="143" t="b">
        <v>1</v>
      </c>
      <c r="N10" s="143" t="b">
        <v>1</v>
      </c>
      <c r="O10" s="143" t="b">
        <v>1</v>
      </c>
      <c r="P10" s="143" t="b">
        <v>1</v>
      </c>
      <c r="Q10" s="143" t="b">
        <v>1</v>
      </c>
      <c r="R10" s="143" t="b">
        <v>1</v>
      </c>
      <c r="S10" s="143" t="b">
        <v>1</v>
      </c>
      <c r="T10" s="143" t="b">
        <v>1</v>
      </c>
      <c r="U10" s="143" t="b">
        <v>1</v>
      </c>
      <c r="V10" s="143" t="b">
        <v>1</v>
      </c>
      <c r="W10" s="143" t="b">
        <v>1</v>
      </c>
      <c r="X10" s="143" t="b">
        <v>1</v>
      </c>
      <c r="Y10" s="143" t="b">
        <v>1</v>
      </c>
    </row>
    <row r="11" spans="1:25" x14ac:dyDescent="0.35">
      <c r="A11" s="137" t="s">
        <v>368</v>
      </c>
      <c r="B11" s="125">
        <f>4.1161</f>
        <v>4.1161000000000003</v>
      </c>
      <c r="C11" s="125">
        <f t="shared" si="0"/>
        <v>8.2322000000000006</v>
      </c>
      <c r="D11" s="126">
        <f t="shared" si="1"/>
        <v>2.3160902465484575E-2</v>
      </c>
      <c r="E11" s="143" t="b">
        <v>0</v>
      </c>
      <c r="F11" s="143" t="b">
        <v>0</v>
      </c>
      <c r="G11" s="143" t="b">
        <v>0</v>
      </c>
      <c r="H11" s="143" t="b">
        <v>0</v>
      </c>
      <c r="I11" s="143" t="b">
        <v>1</v>
      </c>
      <c r="J11" s="143" t="b">
        <v>1</v>
      </c>
      <c r="K11" s="143" t="b">
        <v>1</v>
      </c>
      <c r="L11" s="143" t="b">
        <v>1</v>
      </c>
      <c r="M11" s="143" t="b">
        <v>1</v>
      </c>
      <c r="N11" s="143" t="b">
        <v>1</v>
      </c>
      <c r="O11" s="143" t="b">
        <v>1</v>
      </c>
      <c r="P11" s="143" t="b">
        <v>1</v>
      </c>
      <c r="Q11" s="143" t="b">
        <v>1</v>
      </c>
      <c r="R11" s="143" t="b">
        <v>1</v>
      </c>
      <c r="S11" s="143" t="b">
        <v>1</v>
      </c>
      <c r="T11" s="143" t="b">
        <v>1</v>
      </c>
      <c r="U11" s="143" t="b">
        <v>1</v>
      </c>
      <c r="V11" s="143" t="b">
        <v>1</v>
      </c>
      <c r="W11" s="143" t="b">
        <v>1</v>
      </c>
      <c r="X11" s="143" t="b">
        <v>1</v>
      </c>
      <c r="Y11" s="143" t="b">
        <v>1</v>
      </c>
    </row>
    <row r="12" spans="1:25" x14ac:dyDescent="0.35">
      <c r="A12" s="137" t="s">
        <v>367</v>
      </c>
      <c r="B12">
        <f>4.1161</f>
        <v>4.1161000000000003</v>
      </c>
      <c r="C12" s="125">
        <f t="shared" si="0"/>
        <v>8.2322000000000006</v>
      </c>
      <c r="D12" s="126">
        <f t="shared" si="1"/>
        <v>2.3160902465484575E-2</v>
      </c>
      <c r="E12" s="143" t="b">
        <v>0</v>
      </c>
      <c r="F12" s="143" t="b">
        <v>0</v>
      </c>
      <c r="G12" s="143" t="b">
        <v>0</v>
      </c>
      <c r="H12" s="143" t="b">
        <v>0</v>
      </c>
      <c r="I12" s="143" t="b">
        <v>1</v>
      </c>
      <c r="J12" s="143" t="b">
        <v>1</v>
      </c>
      <c r="K12" s="143" t="b">
        <v>1</v>
      </c>
      <c r="L12" s="143" t="b">
        <v>1</v>
      </c>
      <c r="M12" s="143" t="b">
        <v>1</v>
      </c>
      <c r="N12" s="143" t="b">
        <v>1</v>
      </c>
      <c r="O12" s="143" t="b">
        <v>1</v>
      </c>
      <c r="P12" s="143" t="b">
        <v>1</v>
      </c>
      <c r="Q12" s="143" t="b">
        <v>1</v>
      </c>
      <c r="R12" s="143" t="b">
        <v>1</v>
      </c>
      <c r="S12" s="143" t="b">
        <v>1</v>
      </c>
      <c r="T12" s="143" t="b">
        <v>1</v>
      </c>
      <c r="U12" s="143" t="b">
        <v>1</v>
      </c>
      <c r="V12" s="143" t="b">
        <v>1</v>
      </c>
      <c r="W12" s="143" t="b">
        <v>1</v>
      </c>
      <c r="X12" s="143" t="b">
        <v>1</v>
      </c>
      <c r="Y12" s="143" t="b">
        <v>1</v>
      </c>
    </row>
    <row r="13" spans="1:25" ht="15" thickBot="1" x14ac:dyDescent="0.4">
      <c r="A13" s="138" t="s">
        <v>122</v>
      </c>
      <c r="B13" s="127">
        <f>SUM(B4:B12)</f>
        <v>177.71759999999995</v>
      </c>
      <c r="C13" s="128">
        <f>SUM(C4:C12)</f>
        <v>355.4351999999999</v>
      </c>
      <c r="D13" s="129">
        <f>SUM(D4:D12)</f>
        <v>1.0000000000000002</v>
      </c>
    </row>
    <row r="14" spans="1:25" x14ac:dyDescent="0.35">
      <c r="A14" s="142" t="s">
        <v>198</v>
      </c>
    </row>
    <row r="15" spans="1:25" ht="15" thickBot="1" x14ac:dyDescent="0.4">
      <c r="A15" s="141">
        <f>LW!$C$8</f>
        <v>9.35</v>
      </c>
    </row>
    <row r="16" spans="1:25" x14ac:dyDescent="0.35">
      <c r="A16" s="366" t="s">
        <v>385</v>
      </c>
      <c r="B16" s="367"/>
      <c r="C16" s="367"/>
      <c r="D16" s="367"/>
      <c r="E16" s="367"/>
      <c r="F16" s="367"/>
      <c r="G16" s="367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  <c r="U16" s="367"/>
      <c r="V16" s="367"/>
      <c r="W16" s="368"/>
    </row>
    <row r="17" spans="1:23" x14ac:dyDescent="0.35">
      <c r="A17" s="122" t="s">
        <v>58</v>
      </c>
      <c r="B17" s="122" t="s">
        <v>38</v>
      </c>
      <c r="C17" s="122" t="s">
        <v>332</v>
      </c>
      <c r="D17" s="122" t="s">
        <v>333</v>
      </c>
      <c r="E17" s="122" t="s">
        <v>334</v>
      </c>
      <c r="F17" s="122" t="s">
        <v>335</v>
      </c>
      <c r="G17" s="122" t="s">
        <v>336</v>
      </c>
      <c r="H17" s="122" t="s">
        <v>337</v>
      </c>
      <c r="I17" s="122" t="s">
        <v>338</v>
      </c>
      <c r="J17" s="122" t="s">
        <v>339</v>
      </c>
      <c r="K17" s="122" t="s">
        <v>340</v>
      </c>
      <c r="L17" s="122" t="s">
        <v>341</v>
      </c>
      <c r="M17" s="122" t="s">
        <v>342</v>
      </c>
      <c r="N17" s="122" t="s">
        <v>343</v>
      </c>
      <c r="O17" s="122" t="s">
        <v>344</v>
      </c>
      <c r="P17" s="122" t="s">
        <v>345</v>
      </c>
      <c r="Q17" s="122" t="s">
        <v>346</v>
      </c>
      <c r="R17" s="122" t="s">
        <v>347</v>
      </c>
      <c r="S17" s="122" t="s">
        <v>348</v>
      </c>
      <c r="T17" s="122" t="s">
        <v>349</v>
      </c>
      <c r="U17" s="122" t="s">
        <v>350</v>
      </c>
      <c r="V17" s="122" t="s">
        <v>36</v>
      </c>
      <c r="W17" s="122" t="s">
        <v>122</v>
      </c>
    </row>
    <row r="18" spans="1:23" x14ac:dyDescent="0.35">
      <c r="A18" s="123" t="s">
        <v>59</v>
      </c>
      <c r="B18" s="132">
        <f>0</f>
        <v>0</v>
      </c>
      <c r="C18" s="132">
        <f t="shared" ref="C18:V18" si="2">B18+$A$15</f>
        <v>9.35</v>
      </c>
      <c r="D18" s="132">
        <f t="shared" si="2"/>
        <v>18.7</v>
      </c>
      <c r="E18" s="132">
        <f t="shared" si="2"/>
        <v>28.049999999999997</v>
      </c>
      <c r="F18" s="132">
        <f t="shared" si="2"/>
        <v>37.4</v>
      </c>
      <c r="G18" s="132">
        <f t="shared" si="2"/>
        <v>46.75</v>
      </c>
      <c r="H18" s="132">
        <f t="shared" si="2"/>
        <v>56.1</v>
      </c>
      <c r="I18" s="132">
        <f t="shared" si="2"/>
        <v>65.45</v>
      </c>
      <c r="J18" s="132">
        <f t="shared" si="2"/>
        <v>74.8</v>
      </c>
      <c r="K18" s="132">
        <f t="shared" si="2"/>
        <v>84.149999999999991</v>
      </c>
      <c r="L18" s="132">
        <f t="shared" si="2"/>
        <v>93.499999999999986</v>
      </c>
      <c r="M18" s="132">
        <f t="shared" si="2"/>
        <v>102.84999999999998</v>
      </c>
      <c r="N18" s="132">
        <f t="shared" si="2"/>
        <v>112.19999999999997</v>
      </c>
      <c r="O18" s="132">
        <f t="shared" si="2"/>
        <v>121.54999999999997</v>
      </c>
      <c r="P18" s="132">
        <f t="shared" si="2"/>
        <v>130.89999999999998</v>
      </c>
      <c r="Q18" s="132">
        <f t="shared" si="2"/>
        <v>140.24999999999997</v>
      </c>
      <c r="R18" s="132">
        <f t="shared" si="2"/>
        <v>149.59999999999997</v>
      </c>
      <c r="S18" s="132">
        <f t="shared" si="2"/>
        <v>158.94999999999996</v>
      </c>
      <c r="T18" s="132">
        <f t="shared" si="2"/>
        <v>168.29999999999995</v>
      </c>
      <c r="U18" s="132">
        <f t="shared" si="2"/>
        <v>177.64999999999995</v>
      </c>
      <c r="V18" s="132">
        <f t="shared" si="2"/>
        <v>186.99999999999994</v>
      </c>
      <c r="W18" s="131" t="s">
        <v>123</v>
      </c>
    </row>
    <row r="19" spans="1:23" x14ac:dyDescent="0.35">
      <c r="A19" s="123" t="s">
        <v>351</v>
      </c>
      <c r="B19" s="132" cm="1">
        <f t="array" ref="B19:V19">TRANSPOSE('Curvas de Bojean'!K7:K27)*2</f>
        <v>24.983549431818176</v>
      </c>
      <c r="C19" s="132">
        <v>90.796811571905209</v>
      </c>
      <c r="D19" s="132">
        <v>165.5106287963097</v>
      </c>
      <c r="E19" s="132">
        <v>232.72207010765908</v>
      </c>
      <c r="F19" s="132">
        <v>285.95783907032143</v>
      </c>
      <c r="G19" s="132">
        <v>322.59343716682821</v>
      </c>
      <c r="H19" s="132">
        <v>343.21564009354228</v>
      </c>
      <c r="I19" s="132">
        <v>351.99588172599726</v>
      </c>
      <c r="J19" s="132">
        <v>354.03812137461159</v>
      </c>
      <c r="K19" s="132">
        <v>354.12685420428193</v>
      </c>
      <c r="L19" s="132">
        <v>354.2155870339522</v>
      </c>
      <c r="M19" s="132">
        <v>354.30431986362254</v>
      </c>
      <c r="N19" s="132">
        <v>354.39305269329287</v>
      </c>
      <c r="O19" s="132">
        <v>353.51957940350161</v>
      </c>
      <c r="P19" s="132">
        <v>349.68640437082968</v>
      </c>
      <c r="Q19" s="132">
        <v>339.26496739292367</v>
      </c>
      <c r="R19" s="132">
        <v>314.11037448756292</v>
      </c>
      <c r="S19" s="132">
        <v>268.35698666094771</v>
      </c>
      <c r="T19" s="132">
        <v>200.80435745499193</v>
      </c>
      <c r="U19" s="132">
        <v>108.33090702584769</v>
      </c>
      <c r="V19" s="132">
        <v>2.7574056818181805</v>
      </c>
      <c r="W19" s="132">
        <f>SUM(B19:V19)</f>
        <v>5525.6847756125644</v>
      </c>
    </row>
    <row r="20" spans="1:23" x14ac:dyDescent="0.35">
      <c r="A20" s="123" t="s">
        <v>330</v>
      </c>
      <c r="B20" s="113" t="str">
        <f t="shared" ref="B20:V20" si="3">IF(E4=TRUE,B19*$D$4,"-")</f>
        <v>-</v>
      </c>
      <c r="C20" s="113" t="str">
        <f t="shared" si="3"/>
        <v>-</v>
      </c>
      <c r="D20" s="113" t="str">
        <f t="shared" si="3"/>
        <v>-</v>
      </c>
      <c r="E20" s="113" t="str">
        <f t="shared" si="3"/>
        <v>-</v>
      </c>
      <c r="F20" s="113">
        <f t="shared" si="3"/>
        <v>217.09484387751868</v>
      </c>
      <c r="G20" s="113">
        <f t="shared" si="3"/>
        <v>244.90803296503589</v>
      </c>
      <c r="H20" s="113">
        <f t="shared" si="3"/>
        <v>260.56409589844105</v>
      </c>
      <c r="I20" s="113">
        <f t="shared" si="3"/>
        <v>267.22992185586816</v>
      </c>
      <c r="J20" s="113">
        <f t="shared" si="3"/>
        <v>268.78035914801518</v>
      </c>
      <c r="K20" s="113">
        <f t="shared" si="3"/>
        <v>268.84772376325606</v>
      </c>
      <c r="L20" s="113">
        <f t="shared" si="3"/>
        <v>268.91508837849693</v>
      </c>
      <c r="M20" s="113">
        <f t="shared" si="3"/>
        <v>268.98245299373781</v>
      </c>
      <c r="N20" s="113">
        <f t="shared" si="3"/>
        <v>269.04981760897874</v>
      </c>
      <c r="O20" s="113">
        <f t="shared" si="3"/>
        <v>268.38668996717354</v>
      </c>
      <c r="P20" s="113">
        <f t="shared" si="3"/>
        <v>265.47660175984004</v>
      </c>
      <c r="Q20" s="113">
        <f t="shared" si="3"/>
        <v>257.56480524797195</v>
      </c>
      <c r="R20" s="113">
        <f t="shared" si="3"/>
        <v>238.46782075072613</v>
      </c>
      <c r="S20" s="113">
        <f t="shared" si="3"/>
        <v>203.73254432193778</v>
      </c>
      <c r="T20" s="113">
        <f t="shared" si="3"/>
        <v>152.44761526155119</v>
      </c>
      <c r="U20" s="113">
        <f t="shared" si="3"/>
        <v>82.243177610888793</v>
      </c>
      <c r="V20" s="113" t="str">
        <f t="shared" si="3"/>
        <v>-</v>
      </c>
      <c r="W20" s="132">
        <f>SUM(B20:V20)</f>
        <v>3802.6915914094379</v>
      </c>
    </row>
    <row r="21" spans="1:23" x14ac:dyDescent="0.35">
      <c r="A21" s="123" t="s">
        <v>328</v>
      </c>
      <c r="B21" s="113" t="str">
        <f t="shared" ref="B21:V21" si="4">IF(E5=TRUE,B19*$D$5,"-")</f>
        <v>-</v>
      </c>
      <c r="C21" s="113" t="str">
        <f t="shared" si="4"/>
        <v>-</v>
      </c>
      <c r="D21" s="113" t="str">
        <f t="shared" si="4"/>
        <v>-</v>
      </c>
      <c r="E21" s="113" t="str">
        <f t="shared" si="4"/>
        <v>-</v>
      </c>
      <c r="F21" s="113">
        <f t="shared" si="4"/>
        <v>8.817635158843931</v>
      </c>
      <c r="G21" s="113">
        <f t="shared" si="4"/>
        <v>9.9473098650568055</v>
      </c>
      <c r="H21" s="113">
        <f t="shared" si="4"/>
        <v>10.583204520613673</v>
      </c>
      <c r="I21" s="113">
        <f t="shared" si="4"/>
        <v>10.8539471153024</v>
      </c>
      <c r="J21" s="113">
        <f t="shared" si="4"/>
        <v>10.916920468951147</v>
      </c>
      <c r="K21" s="113">
        <f t="shared" si="4"/>
        <v>10.919656584600883</v>
      </c>
      <c r="L21" s="113">
        <f t="shared" si="4"/>
        <v>10.922392700250615</v>
      </c>
      <c r="M21" s="113">
        <f t="shared" si="4"/>
        <v>10.925128815900351</v>
      </c>
      <c r="N21" s="113">
        <f t="shared" si="4"/>
        <v>10.927864931550086</v>
      </c>
      <c r="O21" s="113">
        <f t="shared" si="4"/>
        <v>10.900931000256529</v>
      </c>
      <c r="P21" s="113">
        <f t="shared" si="4"/>
        <v>10.782733369976567</v>
      </c>
      <c r="Q21" s="113">
        <f t="shared" si="4"/>
        <v>10.461383798302602</v>
      </c>
      <c r="R21" s="113">
        <f t="shared" si="4"/>
        <v>9.685730913493348</v>
      </c>
      <c r="S21" s="113">
        <f t="shared" si="4"/>
        <v>8.2749051692234978</v>
      </c>
      <c r="T21" s="113">
        <f t="shared" si="4"/>
        <v>6.1918902734076768</v>
      </c>
      <c r="U21" s="113">
        <f t="shared" si="4"/>
        <v>3.340430944946621</v>
      </c>
      <c r="V21" s="113" t="str">
        <f t="shared" si="4"/>
        <v>-</v>
      </c>
      <c r="W21" s="132">
        <f>SUM(B21:V21)</f>
        <v>154.45206563067674</v>
      </c>
    </row>
    <row r="22" spans="1:23" x14ac:dyDescent="0.35">
      <c r="A22" s="130" t="s">
        <v>372</v>
      </c>
      <c r="B22" s="113" t="str">
        <f>IF(E6=TRUE,B19*$D$6,"-")</f>
        <v>-</v>
      </c>
      <c r="C22" s="113" t="str">
        <f t="shared" ref="C22:V22" si="5">IF(F6=TRUE,C19*$D$6,"-")</f>
        <v>-</v>
      </c>
      <c r="D22" s="113" t="str">
        <f t="shared" si="5"/>
        <v>-</v>
      </c>
      <c r="E22" s="113" t="str">
        <f t="shared" si="5"/>
        <v>-</v>
      </c>
      <c r="F22" s="113">
        <f t="shared" si="5"/>
        <v>13.226452738265897</v>
      </c>
      <c r="G22" s="113">
        <f t="shared" si="5"/>
        <v>14.920964797585208</v>
      </c>
      <c r="H22" s="113">
        <f t="shared" si="5"/>
        <v>15.87480678092051</v>
      </c>
      <c r="I22" s="113">
        <f t="shared" si="5"/>
        <v>16.280920672953602</v>
      </c>
      <c r="J22" s="113">
        <f t="shared" si="5"/>
        <v>16.375380703426721</v>
      </c>
      <c r="K22" s="113">
        <f t="shared" si="5"/>
        <v>16.379484876901323</v>
      </c>
      <c r="L22" s="113">
        <f t="shared" si="5"/>
        <v>16.383589050375925</v>
      </c>
      <c r="M22" s="113">
        <f t="shared" si="5"/>
        <v>16.387693223850526</v>
      </c>
      <c r="N22" s="113">
        <f t="shared" si="5"/>
        <v>16.391797397325131</v>
      </c>
      <c r="O22" s="113">
        <f t="shared" si="5"/>
        <v>16.351396500384794</v>
      </c>
      <c r="P22" s="113">
        <f t="shared" si="5"/>
        <v>16.17410005496485</v>
      </c>
      <c r="Q22" s="113">
        <f t="shared" si="5"/>
        <v>15.692075697453904</v>
      </c>
      <c r="R22" s="113">
        <f t="shared" si="5"/>
        <v>14.528596370240024</v>
      </c>
      <c r="S22" s="113">
        <f t="shared" si="5"/>
        <v>12.412357753835249</v>
      </c>
      <c r="T22" s="113">
        <f t="shared" si="5"/>
        <v>9.2878354101115157</v>
      </c>
      <c r="U22" s="113">
        <f t="shared" si="5"/>
        <v>5.0106464174199319</v>
      </c>
      <c r="V22" s="113">
        <f t="shared" si="5"/>
        <v>0.12753871706879596</v>
      </c>
      <c r="W22" s="132">
        <f t="shared" ref="W22:W28" si="6">SUM(B22:V22)</f>
        <v>231.80563716308387</v>
      </c>
    </row>
    <row r="23" spans="1:23" x14ac:dyDescent="0.35">
      <c r="A23" s="130" t="s">
        <v>373</v>
      </c>
      <c r="B23" s="113" t="str">
        <f>IF(E7=TRUE,B19*$D$7,"-")</f>
        <v>-</v>
      </c>
      <c r="C23" s="113" t="str">
        <f t="shared" ref="C23:V23" si="7">IF(F7=TRUE,C19*$D$7,"-")</f>
        <v>-</v>
      </c>
      <c r="D23" s="113" t="str">
        <f t="shared" si="7"/>
        <v>-</v>
      </c>
      <c r="E23" s="113" t="str">
        <f t="shared" si="7"/>
        <v>-</v>
      </c>
      <c r="F23" s="113">
        <f t="shared" si="7"/>
        <v>17.199376638028948</v>
      </c>
      <c r="G23" s="113">
        <f t="shared" si="7"/>
        <v>19.40288136470414</v>
      </c>
      <c r="H23" s="113">
        <f t="shared" si="7"/>
        <v>20.64323566446927</v>
      </c>
      <c r="I23" s="113">
        <f t="shared" si="7"/>
        <v>21.171336881419503</v>
      </c>
      <c r="J23" s="113">
        <f t="shared" si="7"/>
        <v>21.294170544647024</v>
      </c>
      <c r="K23" s="113">
        <f t="shared" si="7"/>
        <v>21.299507517966656</v>
      </c>
      <c r="L23" s="113">
        <f t="shared" si="7"/>
        <v>21.304844491286286</v>
      </c>
      <c r="M23" s="113">
        <f t="shared" si="7"/>
        <v>21.310181464605918</v>
      </c>
      <c r="N23" s="113">
        <f t="shared" si="7"/>
        <v>21.315518437925551</v>
      </c>
      <c r="O23" s="113">
        <f t="shared" si="7"/>
        <v>21.262982035555119</v>
      </c>
      <c r="P23" s="113">
        <f t="shared" si="7"/>
        <v>21.032429792886223</v>
      </c>
      <c r="Q23" s="113">
        <f t="shared" si="7"/>
        <v>20.405616342780352</v>
      </c>
      <c r="R23" s="113">
        <f t="shared" si="7"/>
        <v>18.892654435660901</v>
      </c>
      <c r="S23" s="113">
        <f t="shared" si="7"/>
        <v>16.140746139479358</v>
      </c>
      <c r="T23" s="113">
        <f t="shared" si="7"/>
        <v>12.077688744795985</v>
      </c>
      <c r="U23" s="113">
        <f t="shared" si="7"/>
        <v>6.5157300024870297</v>
      </c>
      <c r="V23" s="113">
        <f t="shared" si="7"/>
        <v>0.16584843073236821</v>
      </c>
      <c r="W23" s="132">
        <f t="shared" si="6"/>
        <v>301.43474892943067</v>
      </c>
    </row>
    <row r="24" spans="1:23" x14ac:dyDescent="0.35">
      <c r="A24" s="123" t="s">
        <v>331</v>
      </c>
      <c r="B24" s="113" t="str">
        <f>IF(E8=TRUE,B19*$D$8,"-")</f>
        <v>-</v>
      </c>
      <c r="C24" s="113" t="str">
        <f t="shared" ref="C24:V24" si="8">IF(F8=TRUE,C19*$D$8,"-")</f>
        <v>-</v>
      </c>
      <c r="D24" s="113" t="str">
        <f t="shared" si="8"/>
        <v>-</v>
      </c>
      <c r="E24" s="113" t="str">
        <f t="shared" si="8"/>
        <v>-</v>
      </c>
      <c r="F24" s="113">
        <f t="shared" si="8"/>
        <v>3.1288123296299304</v>
      </c>
      <c r="G24" s="113">
        <f t="shared" si="8"/>
        <v>3.5296613198180573</v>
      </c>
      <c r="H24" s="113">
        <f t="shared" si="8"/>
        <v>3.7552994872870955</v>
      </c>
      <c r="I24" s="113">
        <f t="shared" si="8"/>
        <v>3.8513686433769183</v>
      </c>
      <c r="J24" s="113">
        <f t="shared" si="8"/>
        <v>3.8737138415831205</v>
      </c>
      <c r="K24" s="113">
        <f t="shared" si="8"/>
        <v>3.8746847132767175</v>
      </c>
      <c r="L24" s="113">
        <f t="shared" si="8"/>
        <v>3.8756555849703136</v>
      </c>
      <c r="M24" s="113">
        <f t="shared" si="8"/>
        <v>3.8766264566639106</v>
      </c>
      <c r="N24" s="113">
        <f t="shared" si="8"/>
        <v>3.8775973283575071</v>
      </c>
      <c r="O24" s="113">
        <f t="shared" si="8"/>
        <v>3.8680402062041632</v>
      </c>
      <c r="P24" s="113">
        <f t="shared" si="8"/>
        <v>3.8260994594743485</v>
      </c>
      <c r="Q24" s="113">
        <f t="shared" si="8"/>
        <v>3.7120731379195995</v>
      </c>
      <c r="R24" s="113">
        <f t="shared" si="8"/>
        <v>3.4368437520598198</v>
      </c>
      <c r="S24" s="113">
        <f t="shared" si="8"/>
        <v>2.9362323178020238</v>
      </c>
      <c r="T24" s="113">
        <f t="shared" si="8"/>
        <v>2.1971041307739463</v>
      </c>
      <c r="U24" s="113">
        <f t="shared" si="8"/>
        <v>1.1853043745344349</v>
      </c>
      <c r="V24" s="113">
        <f t="shared" si="8"/>
        <v>3.0170198946505314E-2</v>
      </c>
      <c r="W24" s="132">
        <f t="shared" si="6"/>
        <v>54.835287282678415</v>
      </c>
    </row>
    <row r="25" spans="1:23" x14ac:dyDescent="0.35">
      <c r="A25" s="123" t="s">
        <v>374</v>
      </c>
      <c r="B25" s="113" t="str">
        <f>IF(E9=TRUE,B19*$D$9,"-")</f>
        <v>-</v>
      </c>
      <c r="C25" s="113" t="str">
        <f t="shared" ref="C25:V25" si="9">IF(F9=TRUE,C19*$D$9,"-")</f>
        <v>-</v>
      </c>
      <c r="D25" s="113" t="str">
        <f t="shared" si="9"/>
        <v>-</v>
      </c>
      <c r="E25" s="113" t="str">
        <f t="shared" si="9"/>
        <v>-</v>
      </c>
      <c r="F25" s="113">
        <f t="shared" si="9"/>
        <v>6.6215934681887836</v>
      </c>
      <c r="G25" s="113">
        <f t="shared" si="9"/>
        <v>7.4699214519492259</v>
      </c>
      <c r="H25" s="113">
        <f t="shared" si="9"/>
        <v>7.947445847304631</v>
      </c>
      <c r="I25" s="113">
        <f t="shared" si="9"/>
        <v>8.1507597023526319</v>
      </c>
      <c r="J25" s="113">
        <f t="shared" si="9"/>
        <v>8.1980494733262308</v>
      </c>
      <c r="K25" s="113">
        <f t="shared" si="9"/>
        <v>8.2001041563776536</v>
      </c>
      <c r="L25" s="113">
        <f t="shared" si="9"/>
        <v>8.2021588394290745</v>
      </c>
      <c r="M25" s="113">
        <f t="shared" si="9"/>
        <v>8.2042135224804955</v>
      </c>
      <c r="N25" s="113">
        <f t="shared" si="9"/>
        <v>8.2062682055319183</v>
      </c>
      <c r="O25" s="113">
        <f t="shared" si="9"/>
        <v>8.1860421993167254</v>
      </c>
      <c r="P25" s="113">
        <f t="shared" si="9"/>
        <v>8.0972818182714512</v>
      </c>
      <c r="Q25" s="113">
        <f t="shared" si="9"/>
        <v>7.8559647092654847</v>
      </c>
      <c r="R25" s="113">
        <f t="shared" si="9"/>
        <v>7.2734890246729593</v>
      </c>
      <c r="S25" s="113">
        <f t="shared" si="9"/>
        <v>6.2140309767132358</v>
      </c>
      <c r="T25" s="113">
        <f t="shared" si="9"/>
        <v>4.6497932213735886</v>
      </c>
      <c r="U25" s="113">
        <f t="shared" si="9"/>
        <v>2.5084929607015205</v>
      </c>
      <c r="V25" s="113">
        <f t="shared" si="9"/>
        <v>6.3850039961254143E-2</v>
      </c>
      <c r="W25" s="132">
        <f t="shared" si="6"/>
        <v>116.04945961721685</v>
      </c>
    </row>
    <row r="26" spans="1:23" x14ac:dyDescent="0.35">
      <c r="A26" s="123" t="s">
        <v>375</v>
      </c>
      <c r="B26" s="113" t="str">
        <f>IF(E10=TRUE,B19*$D$10,"-")</f>
        <v>-</v>
      </c>
      <c r="C26" s="113" t="str">
        <f t="shared" ref="C26:V26" si="10">IF(F10=TRUE,C19*$D$10,"-")</f>
        <v>-</v>
      </c>
      <c r="D26" s="113" t="str">
        <f t="shared" si="10"/>
        <v>-</v>
      </c>
      <c r="E26" s="113" t="str">
        <f t="shared" si="10"/>
        <v>-</v>
      </c>
      <c r="F26" s="113">
        <f t="shared" si="10"/>
        <v>6.6230416199484488</v>
      </c>
      <c r="G26" s="113">
        <f t="shared" si="10"/>
        <v>7.4715551342263344</v>
      </c>
      <c r="H26" s="113">
        <f t="shared" si="10"/>
        <v>7.9491839648353899</v>
      </c>
      <c r="I26" s="113">
        <f t="shared" si="10"/>
        <v>8.1525422849080673</v>
      </c>
      <c r="J26" s="113">
        <f t="shared" si="10"/>
        <v>8.1998423982207687</v>
      </c>
      <c r="K26" s="113">
        <f t="shared" si="10"/>
        <v>8.2018975306342501</v>
      </c>
      <c r="L26" s="113">
        <f t="shared" si="10"/>
        <v>8.2039526630477297</v>
      </c>
      <c r="M26" s="113">
        <f t="shared" si="10"/>
        <v>8.2060077954612112</v>
      </c>
      <c r="N26" s="113">
        <f t="shared" si="10"/>
        <v>8.2080629278746926</v>
      </c>
      <c r="O26" s="113">
        <f t="shared" si="10"/>
        <v>8.1878324982036297</v>
      </c>
      <c r="P26" s="113">
        <f t="shared" si="10"/>
        <v>8.0990527051387851</v>
      </c>
      <c r="Q26" s="113">
        <f t="shared" si="10"/>
        <v>7.8576828197433093</v>
      </c>
      <c r="R26" s="113">
        <f t="shared" si="10"/>
        <v>7.2750797469032795</v>
      </c>
      <c r="S26" s="113">
        <f t="shared" si="10"/>
        <v>6.2153899939855553</v>
      </c>
      <c r="T26" s="113">
        <f t="shared" si="10"/>
        <v>4.6508101376593682</v>
      </c>
      <c r="U26" s="113">
        <f t="shared" si="10"/>
        <v>2.5090415716231362</v>
      </c>
      <c r="V26" s="113">
        <f t="shared" si="10"/>
        <v>6.3864004054363877E-2</v>
      </c>
      <c r="W26" s="132">
        <f t="shared" si="6"/>
        <v>116.07483979646831</v>
      </c>
    </row>
    <row r="27" spans="1:23" x14ac:dyDescent="0.35">
      <c r="A27" s="123" t="s">
        <v>376</v>
      </c>
      <c r="B27" s="113" t="str">
        <f>IF(E11=TRUE,B19*$D$11,"-")</f>
        <v>-</v>
      </c>
      <c r="C27" s="113" t="str">
        <f t="shared" ref="C27:V27" si="11">IF(F11=TRUE,C19*$D$11,"-")</f>
        <v>-</v>
      </c>
      <c r="D27" s="113" t="str">
        <f t="shared" si="11"/>
        <v>-</v>
      </c>
      <c r="E27" s="113" t="str">
        <f t="shared" si="11"/>
        <v>-</v>
      </c>
      <c r="F27" s="113">
        <f t="shared" si="11"/>
        <v>6.6230416199484488</v>
      </c>
      <c r="G27" s="113">
        <f t="shared" si="11"/>
        <v>7.4715551342263344</v>
      </c>
      <c r="H27" s="113">
        <f t="shared" si="11"/>
        <v>7.9491839648353899</v>
      </c>
      <c r="I27" s="113">
        <f t="shared" si="11"/>
        <v>8.1525422849080673</v>
      </c>
      <c r="J27" s="113">
        <f t="shared" si="11"/>
        <v>8.1998423982207687</v>
      </c>
      <c r="K27" s="113">
        <f t="shared" si="11"/>
        <v>8.2018975306342501</v>
      </c>
      <c r="L27" s="113">
        <f t="shared" si="11"/>
        <v>8.2039526630477297</v>
      </c>
      <c r="M27" s="113">
        <f t="shared" si="11"/>
        <v>8.2060077954612112</v>
      </c>
      <c r="N27" s="113">
        <f t="shared" si="11"/>
        <v>8.2080629278746926</v>
      </c>
      <c r="O27" s="113">
        <f t="shared" si="11"/>
        <v>8.1878324982036297</v>
      </c>
      <c r="P27" s="113">
        <f t="shared" si="11"/>
        <v>8.0990527051387851</v>
      </c>
      <c r="Q27" s="113">
        <f t="shared" si="11"/>
        <v>7.8576828197433093</v>
      </c>
      <c r="R27" s="113">
        <f t="shared" si="11"/>
        <v>7.2750797469032795</v>
      </c>
      <c r="S27" s="113">
        <f t="shared" si="11"/>
        <v>6.2153899939855553</v>
      </c>
      <c r="T27" s="113">
        <f t="shared" si="11"/>
        <v>4.6508101376593682</v>
      </c>
      <c r="U27" s="113">
        <f t="shared" si="11"/>
        <v>2.5090415716231362</v>
      </c>
      <c r="V27" s="113">
        <f t="shared" si="11"/>
        <v>6.3864004054363877E-2</v>
      </c>
      <c r="W27" s="132">
        <f t="shared" si="6"/>
        <v>116.07483979646831</v>
      </c>
    </row>
    <row r="28" spans="1:23" x14ac:dyDescent="0.35">
      <c r="A28" s="123" t="s">
        <v>377</v>
      </c>
      <c r="B28" s="113" t="str">
        <f>IF(E12=TRUE,B19*$D$12,"-")</f>
        <v>-</v>
      </c>
      <c r="C28" s="113" t="str">
        <f t="shared" ref="C28:V28" si="12">IF(F12=TRUE,C19*$D$12,"-")</f>
        <v>-</v>
      </c>
      <c r="D28" s="113" t="str">
        <f t="shared" si="12"/>
        <v>-</v>
      </c>
      <c r="E28" s="113" t="str">
        <f t="shared" si="12"/>
        <v>-</v>
      </c>
      <c r="F28" s="113">
        <f t="shared" si="12"/>
        <v>6.6230416199484488</v>
      </c>
      <c r="G28" s="113">
        <f t="shared" si="12"/>
        <v>7.4715551342263344</v>
      </c>
      <c r="H28" s="113">
        <f t="shared" si="12"/>
        <v>7.9491839648353899</v>
      </c>
      <c r="I28" s="113">
        <f t="shared" si="12"/>
        <v>8.1525422849080673</v>
      </c>
      <c r="J28" s="113">
        <f t="shared" si="12"/>
        <v>8.1998423982207687</v>
      </c>
      <c r="K28" s="113">
        <f t="shared" si="12"/>
        <v>8.2018975306342501</v>
      </c>
      <c r="L28" s="113">
        <f t="shared" si="12"/>
        <v>8.2039526630477297</v>
      </c>
      <c r="M28" s="113">
        <f t="shared" si="12"/>
        <v>8.2060077954612112</v>
      </c>
      <c r="N28" s="113">
        <f t="shared" si="12"/>
        <v>8.2080629278746926</v>
      </c>
      <c r="O28" s="113">
        <f t="shared" si="12"/>
        <v>8.1878324982036297</v>
      </c>
      <c r="P28" s="113">
        <f t="shared" si="12"/>
        <v>8.0990527051387851</v>
      </c>
      <c r="Q28" s="113">
        <f t="shared" si="12"/>
        <v>7.8576828197433093</v>
      </c>
      <c r="R28" s="113">
        <f t="shared" si="12"/>
        <v>7.2750797469032795</v>
      </c>
      <c r="S28" s="113">
        <f t="shared" si="12"/>
        <v>6.2153899939855553</v>
      </c>
      <c r="T28" s="113">
        <f t="shared" si="12"/>
        <v>4.6508101376593682</v>
      </c>
      <c r="U28" s="113">
        <f t="shared" si="12"/>
        <v>2.5090415716231362</v>
      </c>
      <c r="V28" s="113">
        <f t="shared" si="12"/>
        <v>6.3864004054363877E-2</v>
      </c>
      <c r="W28" s="132">
        <f t="shared" si="6"/>
        <v>116.07483979646831</v>
      </c>
    </row>
    <row r="29" spans="1:23" x14ac:dyDescent="0.35">
      <c r="W29" s="133">
        <f>SUM(W20:W28)</f>
        <v>5009.4933094219277</v>
      </c>
    </row>
    <row r="31" spans="1:23" x14ac:dyDescent="0.35">
      <c r="A31" s="366" t="s">
        <v>686</v>
      </c>
      <c r="B31" s="367"/>
      <c r="C31" s="367"/>
      <c r="D31" s="367"/>
      <c r="E31" s="367"/>
      <c r="F31" s="367"/>
      <c r="G31" s="367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8"/>
    </row>
    <row r="32" spans="1:23" x14ac:dyDescent="0.35">
      <c r="A32" s="122" t="s">
        <v>58</v>
      </c>
      <c r="B32" s="122" t="s">
        <v>133</v>
      </c>
      <c r="C32" s="122" t="s">
        <v>134</v>
      </c>
      <c r="D32" s="122" t="s">
        <v>135</v>
      </c>
      <c r="E32" s="122" t="s">
        <v>136</v>
      </c>
      <c r="F32" s="122" t="s">
        <v>137</v>
      </c>
      <c r="G32" s="122" t="s">
        <v>138</v>
      </c>
      <c r="H32" s="122" t="s">
        <v>139</v>
      </c>
      <c r="I32" s="122" t="s">
        <v>140</v>
      </c>
      <c r="J32" s="122" t="s">
        <v>141</v>
      </c>
      <c r="K32" s="122" t="s">
        <v>142</v>
      </c>
      <c r="L32" s="122" t="s">
        <v>143</v>
      </c>
      <c r="M32" s="122" t="s">
        <v>144</v>
      </c>
      <c r="N32" s="122" t="s">
        <v>145</v>
      </c>
      <c r="O32" s="122" t="s">
        <v>146</v>
      </c>
      <c r="P32" s="122" t="s">
        <v>147</v>
      </c>
      <c r="Q32" s="122" t="s">
        <v>148</v>
      </c>
      <c r="R32" s="122" t="s">
        <v>149</v>
      </c>
      <c r="S32" s="122" t="s">
        <v>150</v>
      </c>
      <c r="T32" s="122" t="s">
        <v>151</v>
      </c>
      <c r="U32" s="122" t="s">
        <v>152</v>
      </c>
      <c r="V32" s="122" t="s">
        <v>122</v>
      </c>
    </row>
    <row r="33" spans="1:23" x14ac:dyDescent="0.35">
      <c r="A33" s="123" t="s">
        <v>352</v>
      </c>
      <c r="B33" s="1" cm="1">
        <f t="array" ref="B33:U33">TRANSPOSE('Curvas de Bojean'!C34:C53*2)</f>
        <v>541.27318769240685</v>
      </c>
      <c r="C33" s="1">
        <v>1198.2372837214045</v>
      </c>
      <c r="D33" s="1">
        <v>1861.7378673760538</v>
      </c>
      <c r="E33" s="1">
        <v>2424.8285754070589</v>
      </c>
      <c r="F33" s="1">
        <v>2844.9772164086744</v>
      </c>
      <c r="G33" s="1">
        <v>3112.6574361922321</v>
      </c>
      <c r="H33" s="1">
        <v>3250.113864506347</v>
      </c>
      <c r="I33" s="1">
        <v>3300.7089644953462</v>
      </c>
      <c r="J33" s="1">
        <v>3310.6712608313269</v>
      </c>
      <c r="K33" s="1">
        <v>3311.5009127887447</v>
      </c>
      <c r="L33" s="1">
        <v>3312.3305647461616</v>
      </c>
      <c r="M33" s="1">
        <v>3313.1602167035794</v>
      </c>
      <c r="N33" s="1">
        <v>3309.4915550525143</v>
      </c>
      <c r="O33" s="1">
        <v>3287.487974144999</v>
      </c>
      <c r="P33" s="1">
        <v>3220.8476629955467</v>
      </c>
      <c r="Q33" s="1">
        <v>3054.5297232912744</v>
      </c>
      <c r="R33" s="1">
        <v>2723.0349133692876</v>
      </c>
      <c r="S33" s="1">
        <v>2193.3292837420177</v>
      </c>
      <c r="T33" s="1">
        <v>1445.2073614479252</v>
      </c>
      <c r="U33" s="1">
        <v>519.33786190833791</v>
      </c>
      <c r="V33" s="1">
        <f>SUM(B33:U33)</f>
        <v>51535.46368682124</v>
      </c>
    </row>
    <row r="34" spans="1:23" x14ac:dyDescent="0.35">
      <c r="A34" s="123" t="s">
        <v>353</v>
      </c>
      <c r="B34" s="113" t="str">
        <f>IF(OR(B20="-",C20="-"),"-",(B20+C20)*$A$15/2)</f>
        <v>-</v>
      </c>
      <c r="C34" s="113" t="str">
        <f t="shared" ref="C34:U34" si="13">IF(OR(C20="-",D20="-"),"-",(C20+D20)*$A$15/2)</f>
        <v>-</v>
      </c>
      <c r="D34" s="113" t="str">
        <f t="shared" si="13"/>
        <v>-</v>
      </c>
      <c r="E34" s="113" t="str">
        <f t="shared" si="13"/>
        <v>-</v>
      </c>
      <c r="F34" s="113">
        <f t="shared" si="13"/>
        <v>2159.8634492389424</v>
      </c>
      <c r="G34" s="113">
        <f t="shared" si="13"/>
        <v>2363.0822024367544</v>
      </c>
      <c r="H34" s="113">
        <f t="shared" si="13"/>
        <v>2467.4370330013953</v>
      </c>
      <c r="I34" s="113">
        <f t="shared" si="13"/>
        <v>2505.8480636931549</v>
      </c>
      <c r="J34" s="113">
        <f t="shared" si="13"/>
        <v>2513.4112876101931</v>
      </c>
      <c r="K34" s="113">
        <f t="shared" si="13"/>
        <v>2514.041146762695</v>
      </c>
      <c r="L34" s="113">
        <f t="shared" si="13"/>
        <v>2514.6710059151974</v>
      </c>
      <c r="M34" s="113">
        <f t="shared" si="13"/>
        <v>2515.3008650677002</v>
      </c>
      <c r="N34" s="113">
        <f t="shared" si="13"/>
        <v>2512.5156729185119</v>
      </c>
      <c r="O34" s="113">
        <f t="shared" si="13"/>
        <v>2495.8108888237884</v>
      </c>
      <c r="P34" s="113">
        <f t="shared" si="13"/>
        <v>2445.2185777615214</v>
      </c>
      <c r="Q34" s="113">
        <f t="shared" si="13"/>
        <v>2318.9525265439138</v>
      </c>
      <c r="R34" s="113">
        <f t="shared" si="13"/>
        <v>2067.2867067147035</v>
      </c>
      <c r="S34" s="113">
        <f t="shared" si="13"/>
        <v>1665.1422460528108</v>
      </c>
      <c r="T34" s="113">
        <f t="shared" si="13"/>
        <v>1097.1794566786571</v>
      </c>
      <c r="U34" s="113" t="str">
        <f t="shared" si="13"/>
        <v>-</v>
      </c>
      <c r="V34" s="1">
        <f>SUM(B34:U34)</f>
        <v>34155.761129219936</v>
      </c>
    </row>
    <row r="35" spans="1:23" x14ac:dyDescent="0.35">
      <c r="A35" s="123" t="s">
        <v>354</v>
      </c>
      <c r="B35" s="113" t="str">
        <f t="shared" ref="B35:U35" si="14">IF(OR(B21="-",C21="-"),"-",(B21+C21)*$A$15/2)</f>
        <v>-</v>
      </c>
      <c r="C35" s="113" t="str">
        <f t="shared" si="14"/>
        <v>-</v>
      </c>
      <c r="D35" s="113" t="str">
        <f t="shared" si="14"/>
        <v>-</v>
      </c>
      <c r="E35" s="113" t="str">
        <f t="shared" si="14"/>
        <v>-</v>
      </c>
      <c r="F35" s="113">
        <f t="shared" si="14"/>
        <v>87.726117986735943</v>
      </c>
      <c r="G35" s="113">
        <f t="shared" si="14"/>
        <v>95.980154753009487</v>
      </c>
      <c r="H35" s="113">
        <f t="shared" si="14"/>
        <v>100.21868389790764</v>
      </c>
      <c r="I35" s="113">
        <f t="shared" si="14"/>
        <v>101.77880595638533</v>
      </c>
      <c r="J35" s="113">
        <f t="shared" si="14"/>
        <v>102.08599772535574</v>
      </c>
      <c r="K35" s="113">
        <f t="shared" si="14"/>
        <v>102.11158040668074</v>
      </c>
      <c r="L35" s="113">
        <f t="shared" si="14"/>
        <v>102.13716308800576</v>
      </c>
      <c r="M35" s="113">
        <f t="shared" si="14"/>
        <v>102.16274576933078</v>
      </c>
      <c r="N35" s="113">
        <f t="shared" si="14"/>
        <v>102.04962098119593</v>
      </c>
      <c r="O35" s="113">
        <f t="shared" si="14"/>
        <v>101.37113093083973</v>
      </c>
      <c r="P35" s="113">
        <f t="shared" si="14"/>
        <v>99.3162477617051</v>
      </c>
      <c r="Q35" s="113">
        <f t="shared" si="14"/>
        <v>94.187761277646061</v>
      </c>
      <c r="R35" s="113">
        <f t="shared" si="14"/>
        <v>83.965973686701247</v>
      </c>
      <c r="S35" s="113">
        <f t="shared" si="14"/>
        <v>67.632268694300734</v>
      </c>
      <c r="T35" s="113">
        <f t="shared" si="14"/>
        <v>44.563601695806341</v>
      </c>
      <c r="U35" s="113" t="str">
        <f t="shared" si="14"/>
        <v>-</v>
      </c>
      <c r="V35" s="1">
        <f>SUM(B35:U35)</f>
        <v>1387.2878546116067</v>
      </c>
    </row>
    <row r="36" spans="1:23" x14ac:dyDescent="0.35">
      <c r="A36" s="130" t="s">
        <v>382</v>
      </c>
      <c r="B36" s="113" t="str">
        <f t="shared" ref="B36:U36" si="15">IF(OR(B22="-",C22="-"),"-",(B22+C22)*$A$15/2)</f>
        <v>-</v>
      </c>
      <c r="C36" s="113" t="str">
        <f t="shared" si="15"/>
        <v>-</v>
      </c>
      <c r="D36" s="113" t="str">
        <f t="shared" si="15"/>
        <v>-</v>
      </c>
      <c r="E36" s="113" t="str">
        <f t="shared" si="15"/>
        <v>-</v>
      </c>
      <c r="F36" s="113">
        <f t="shared" si="15"/>
        <v>131.5891769801039</v>
      </c>
      <c r="G36" s="113">
        <f t="shared" si="15"/>
        <v>143.97023212951422</v>
      </c>
      <c r="H36" s="113">
        <f t="shared" si="15"/>
        <v>150.32802584686146</v>
      </c>
      <c r="I36" s="113">
        <f t="shared" si="15"/>
        <v>152.66820893457802</v>
      </c>
      <c r="J36" s="113">
        <f t="shared" si="15"/>
        <v>153.1289965880336</v>
      </c>
      <c r="K36" s="113">
        <f t="shared" si="15"/>
        <v>153.16737061002112</v>
      </c>
      <c r="L36" s="113">
        <f t="shared" si="15"/>
        <v>153.20574463200865</v>
      </c>
      <c r="M36" s="113">
        <f t="shared" si="15"/>
        <v>153.24411865399617</v>
      </c>
      <c r="N36" s="113">
        <f t="shared" si="15"/>
        <v>153.0744314717939</v>
      </c>
      <c r="O36" s="113">
        <f t="shared" si="15"/>
        <v>152.05669639625961</v>
      </c>
      <c r="P36" s="113">
        <f t="shared" si="15"/>
        <v>148.97437164255768</v>
      </c>
      <c r="Q36" s="113">
        <f t="shared" si="15"/>
        <v>141.28164191646908</v>
      </c>
      <c r="R36" s="113">
        <f t="shared" si="15"/>
        <v>125.94896053005189</v>
      </c>
      <c r="S36" s="113">
        <f t="shared" si="15"/>
        <v>101.44840304145112</v>
      </c>
      <c r="T36" s="113">
        <f t="shared" si="15"/>
        <v>66.845402543709511</v>
      </c>
      <c r="U36" s="113">
        <f t="shared" si="15"/>
        <v>24.021015503734802</v>
      </c>
      <c r="V36" s="1">
        <f t="shared" ref="V36:V42" si="16">SUM(B36:U36)</f>
        <v>2104.9527974211446</v>
      </c>
    </row>
    <row r="37" spans="1:23" x14ac:dyDescent="0.35">
      <c r="A37" s="130" t="s">
        <v>381</v>
      </c>
      <c r="B37" s="113" t="str">
        <f t="shared" ref="B37:U37" si="17">IF(OR(B23="-",C23="-"),"-",(B23+C23)*$A$15/2)</f>
        <v>-</v>
      </c>
      <c r="C37" s="113" t="str">
        <f t="shared" si="17"/>
        <v>-</v>
      </c>
      <c r="D37" s="113" t="str">
        <f t="shared" si="17"/>
        <v>-</v>
      </c>
      <c r="E37" s="113" t="str">
        <f t="shared" si="17"/>
        <v>-</v>
      </c>
      <c r="F37" s="113">
        <f t="shared" si="17"/>
        <v>171.11555616277718</v>
      </c>
      <c r="G37" s="113">
        <f t="shared" si="17"/>
        <v>187.21559711138568</v>
      </c>
      <c r="H37" s="113">
        <f t="shared" si="17"/>
        <v>195.48312665202999</v>
      </c>
      <c r="I37" s="113">
        <f t="shared" si="17"/>
        <v>198.52624721686098</v>
      </c>
      <c r="J37" s="113">
        <f t="shared" si="17"/>
        <v>199.12544494271893</v>
      </c>
      <c r="K37" s="113">
        <f t="shared" si="17"/>
        <v>199.17534564325749</v>
      </c>
      <c r="L37" s="113">
        <f t="shared" si="17"/>
        <v>199.22524634379607</v>
      </c>
      <c r="M37" s="113">
        <f t="shared" si="17"/>
        <v>199.2751470443346</v>
      </c>
      <c r="N37" s="113">
        <f t="shared" si="17"/>
        <v>199.05448971352214</v>
      </c>
      <c r="O37" s="113">
        <f t="shared" si="17"/>
        <v>197.73105029796329</v>
      </c>
      <c r="P37" s="113">
        <f t="shared" si="17"/>
        <v>193.72286568424124</v>
      </c>
      <c r="Q37" s="113">
        <f t="shared" si="17"/>
        <v>183.71941588921283</v>
      </c>
      <c r="R37" s="113">
        <f t="shared" si="17"/>
        <v>163.78114768878072</v>
      </c>
      <c r="S37" s="113">
        <f t="shared" si="17"/>
        <v>131.92118308398722</v>
      </c>
      <c r="T37" s="113">
        <f t="shared" si="17"/>
        <v>86.924232643548081</v>
      </c>
      <c r="U37" s="113">
        <f t="shared" si="17"/>
        <v>31.236379175300684</v>
      </c>
      <c r="V37" s="1">
        <f t="shared" si="16"/>
        <v>2737.2324752937166</v>
      </c>
    </row>
    <row r="38" spans="1:23" x14ac:dyDescent="0.35">
      <c r="A38" s="123" t="s">
        <v>355</v>
      </c>
      <c r="B38" s="113" t="str">
        <f t="shared" ref="B38:U38" si="18">IF(OR(B24="-",C24="-"),"-",(B24+C24)*$A$15/2)</f>
        <v>-</v>
      </c>
      <c r="C38" s="113" t="str">
        <f t="shared" si="18"/>
        <v>-</v>
      </c>
      <c r="D38" s="113" t="str">
        <f t="shared" si="18"/>
        <v>-</v>
      </c>
      <c r="E38" s="113" t="str">
        <f t="shared" si="18"/>
        <v>-</v>
      </c>
      <c r="F38" s="113">
        <f t="shared" si="18"/>
        <v>31.128364311169342</v>
      </c>
      <c r="G38" s="113">
        <f t="shared" si="18"/>
        <v>34.057191773216587</v>
      </c>
      <c r="H38" s="113">
        <f t="shared" si="18"/>
        <v>35.56117351085426</v>
      </c>
      <c r="I38" s="113">
        <f t="shared" si="18"/>
        <v>36.114760617188182</v>
      </c>
      <c r="J38" s="113">
        <f t="shared" si="18"/>
        <v>36.223763243969742</v>
      </c>
      <c r="K38" s="113">
        <f t="shared" si="18"/>
        <v>36.232840894304871</v>
      </c>
      <c r="L38" s="113">
        <f t="shared" si="18"/>
        <v>36.241918544639994</v>
      </c>
      <c r="M38" s="113">
        <f t="shared" si="18"/>
        <v>36.25099619497513</v>
      </c>
      <c r="N38" s="113">
        <f t="shared" si="18"/>
        <v>36.210855474075807</v>
      </c>
      <c r="O38" s="113">
        <f t="shared" si="18"/>
        <v>35.970102937047038</v>
      </c>
      <c r="P38" s="113">
        <f t="shared" si="18"/>
        <v>35.240956892816705</v>
      </c>
      <c r="Q38" s="113">
        <f t="shared" si="18"/>
        <v>33.421186460653786</v>
      </c>
      <c r="R38" s="113">
        <f t="shared" si="18"/>
        <v>29.794130626604119</v>
      </c>
      <c r="S38" s="113">
        <f t="shared" si="18"/>
        <v>23.99834789709266</v>
      </c>
      <c r="T38" s="113">
        <f t="shared" si="18"/>
        <v>15.812759762316682</v>
      </c>
      <c r="U38" s="113">
        <f t="shared" si="18"/>
        <v>5.6823436310233957</v>
      </c>
      <c r="V38" s="1">
        <f t="shared" si="16"/>
        <v>497.94169277194828</v>
      </c>
    </row>
    <row r="39" spans="1:23" x14ac:dyDescent="0.35">
      <c r="A39" s="123" t="s">
        <v>380</v>
      </c>
      <c r="B39" s="113" t="str">
        <f t="shared" ref="B39:U39" si="19">IF(OR(B25="-",C25="-"),"-",(B25+C25)*$A$15/2)</f>
        <v>-</v>
      </c>
      <c r="C39" s="113" t="str">
        <f t="shared" si="19"/>
        <v>-</v>
      </c>
      <c r="D39" s="113" t="str">
        <f t="shared" si="19"/>
        <v>-</v>
      </c>
      <c r="E39" s="113" t="str">
        <f t="shared" si="19"/>
        <v>-</v>
      </c>
      <c r="F39" s="113">
        <f t="shared" si="19"/>
        <v>65.877832251645202</v>
      </c>
      <c r="G39" s="113">
        <f t="shared" si="19"/>
        <v>72.076192124011783</v>
      </c>
      <c r="H39" s="113">
        <f t="shared" si="19"/>
        <v>75.259110944647702</v>
      </c>
      <c r="I39" s="113">
        <f t="shared" si="19"/>
        <v>76.430682896298677</v>
      </c>
      <c r="J39" s="113">
        <f t="shared" si="19"/>
        <v>76.661368218865661</v>
      </c>
      <c r="K39" s="113">
        <f t="shared" si="19"/>
        <v>76.680579505396466</v>
      </c>
      <c r="L39" s="113">
        <f t="shared" si="19"/>
        <v>76.699790791927228</v>
      </c>
      <c r="M39" s="113">
        <f t="shared" si="19"/>
        <v>76.719002078458033</v>
      </c>
      <c r="N39" s="113">
        <f t="shared" si="19"/>
        <v>76.634051142667403</v>
      </c>
      <c r="O39" s="113">
        <f t="shared" si="19"/>
        <v>76.12453978222473</v>
      </c>
      <c r="P39" s="113">
        <f t="shared" si="19"/>
        <v>74.581427516235181</v>
      </c>
      <c r="Q39" s="113">
        <f t="shared" si="19"/>
        <v>70.730196206162219</v>
      </c>
      <c r="R39" s="113">
        <f t="shared" si="19"/>
        <v>63.054156006480454</v>
      </c>
      <c r="S39" s="113">
        <f t="shared" si="19"/>
        <v>50.788378126055903</v>
      </c>
      <c r="T39" s="113">
        <f t="shared" si="19"/>
        <v>33.464987901201134</v>
      </c>
      <c r="U39" s="113">
        <f t="shared" si="19"/>
        <v>12.025703528098472</v>
      </c>
      <c r="V39" s="1">
        <f t="shared" si="16"/>
        <v>1053.8079990203764</v>
      </c>
    </row>
    <row r="40" spans="1:23" x14ac:dyDescent="0.35">
      <c r="A40" s="123" t="s">
        <v>379</v>
      </c>
      <c r="B40" s="113" t="str">
        <f t="shared" ref="B40:U40" si="20">IF(OR(B26="-",C26="-"),"-",(B26+C26)*$A$15/2)</f>
        <v>-</v>
      </c>
      <c r="C40" s="113" t="str">
        <f t="shared" si="20"/>
        <v>-</v>
      </c>
      <c r="D40" s="113" t="str">
        <f t="shared" si="20"/>
        <v>-</v>
      </c>
      <c r="E40" s="113" t="str">
        <f t="shared" si="20"/>
        <v>-</v>
      </c>
      <c r="F40" s="113">
        <f t="shared" si="20"/>
        <v>65.892239825767106</v>
      </c>
      <c r="G40" s="113">
        <f t="shared" si="20"/>
        <v>72.091955288113553</v>
      </c>
      <c r="H40" s="113">
        <f t="shared" si="20"/>
        <v>75.275570217550666</v>
      </c>
      <c r="I40" s="113">
        <f t="shared" si="20"/>
        <v>76.44739839362731</v>
      </c>
      <c r="J40" s="113">
        <f t="shared" si="20"/>
        <v>76.678134167397204</v>
      </c>
      <c r="K40" s="113">
        <f t="shared" si="20"/>
        <v>76.697349655463242</v>
      </c>
      <c r="L40" s="113">
        <f t="shared" si="20"/>
        <v>76.716565143529294</v>
      </c>
      <c r="M40" s="113">
        <f t="shared" si="20"/>
        <v>76.735780631595347</v>
      </c>
      <c r="N40" s="113">
        <f t="shared" si="20"/>
        <v>76.650811116916159</v>
      </c>
      <c r="O40" s="113">
        <f t="shared" si="20"/>
        <v>76.141188325625791</v>
      </c>
      <c r="P40" s="113">
        <f t="shared" si="20"/>
        <v>74.597738578823794</v>
      </c>
      <c r="Q40" s="113">
        <f t="shared" si="20"/>
        <v>70.745664999072801</v>
      </c>
      <c r="R40" s="113">
        <f t="shared" si="20"/>
        <v>63.067946038655293</v>
      </c>
      <c r="S40" s="113">
        <f t="shared" si="20"/>
        <v>50.799485615440013</v>
      </c>
      <c r="T40" s="113">
        <f t="shared" si="20"/>
        <v>33.472306740895711</v>
      </c>
      <c r="U40" s="113">
        <f t="shared" si="20"/>
        <v>12.028333566292311</v>
      </c>
      <c r="V40" s="1">
        <f t="shared" si="16"/>
        <v>1054.0384683047657</v>
      </c>
      <c r="W40" s="124"/>
    </row>
    <row r="41" spans="1:23" x14ac:dyDescent="0.35">
      <c r="A41" s="123" t="s">
        <v>378</v>
      </c>
      <c r="B41" s="113" t="str">
        <f t="shared" ref="B41:U41" si="21">IF(OR(B27="-",C27="-"),"-",(B27+C27)*$A$15/2)</f>
        <v>-</v>
      </c>
      <c r="C41" s="113" t="str">
        <f t="shared" si="21"/>
        <v>-</v>
      </c>
      <c r="D41" s="113" t="str">
        <f t="shared" si="21"/>
        <v>-</v>
      </c>
      <c r="E41" s="113" t="str">
        <f t="shared" si="21"/>
        <v>-</v>
      </c>
      <c r="F41" s="113">
        <f t="shared" si="21"/>
        <v>65.892239825767106</v>
      </c>
      <c r="G41" s="113">
        <f t="shared" si="21"/>
        <v>72.091955288113553</v>
      </c>
      <c r="H41" s="113">
        <f t="shared" si="21"/>
        <v>75.275570217550666</v>
      </c>
      <c r="I41" s="113">
        <f t="shared" si="21"/>
        <v>76.44739839362731</v>
      </c>
      <c r="J41" s="113">
        <f t="shared" si="21"/>
        <v>76.678134167397204</v>
      </c>
      <c r="K41" s="113">
        <f t="shared" si="21"/>
        <v>76.697349655463242</v>
      </c>
      <c r="L41" s="113">
        <f t="shared" si="21"/>
        <v>76.716565143529294</v>
      </c>
      <c r="M41" s="113">
        <f t="shared" si="21"/>
        <v>76.735780631595347</v>
      </c>
      <c r="N41" s="113">
        <f t="shared" si="21"/>
        <v>76.650811116916159</v>
      </c>
      <c r="O41" s="113">
        <f t="shared" si="21"/>
        <v>76.141188325625791</v>
      </c>
      <c r="P41" s="113">
        <f t="shared" si="21"/>
        <v>74.597738578823794</v>
      </c>
      <c r="Q41" s="113">
        <f t="shared" si="21"/>
        <v>70.745664999072801</v>
      </c>
      <c r="R41" s="113">
        <f t="shared" si="21"/>
        <v>63.067946038655293</v>
      </c>
      <c r="S41" s="113">
        <f t="shared" si="21"/>
        <v>50.799485615440013</v>
      </c>
      <c r="T41" s="113">
        <f t="shared" si="21"/>
        <v>33.472306740895711</v>
      </c>
      <c r="U41" s="113">
        <f t="shared" si="21"/>
        <v>12.028333566292311</v>
      </c>
      <c r="V41" s="1">
        <f t="shared" si="16"/>
        <v>1054.0384683047657</v>
      </c>
    </row>
    <row r="42" spans="1:23" x14ac:dyDescent="0.35">
      <c r="A42" s="123" t="s">
        <v>356</v>
      </c>
      <c r="B42" s="113" t="str">
        <f t="shared" ref="B42:U42" si="22">IF(OR(B28="-",C28="-"),"-",(B28+C28)*$A$15/2)</f>
        <v>-</v>
      </c>
      <c r="C42" s="113" t="str">
        <f t="shared" si="22"/>
        <v>-</v>
      </c>
      <c r="D42" s="113" t="str">
        <f t="shared" si="22"/>
        <v>-</v>
      </c>
      <c r="E42" s="113" t="str">
        <f t="shared" si="22"/>
        <v>-</v>
      </c>
      <c r="F42" s="113">
        <f t="shared" si="22"/>
        <v>65.892239825767106</v>
      </c>
      <c r="G42" s="113">
        <f t="shared" si="22"/>
        <v>72.091955288113553</v>
      </c>
      <c r="H42" s="113">
        <f t="shared" si="22"/>
        <v>75.275570217550666</v>
      </c>
      <c r="I42" s="113">
        <f t="shared" si="22"/>
        <v>76.44739839362731</v>
      </c>
      <c r="J42" s="113">
        <f t="shared" si="22"/>
        <v>76.678134167397204</v>
      </c>
      <c r="K42" s="113">
        <f t="shared" si="22"/>
        <v>76.697349655463242</v>
      </c>
      <c r="L42" s="113">
        <f t="shared" si="22"/>
        <v>76.716565143529294</v>
      </c>
      <c r="M42" s="113">
        <f t="shared" si="22"/>
        <v>76.735780631595347</v>
      </c>
      <c r="N42" s="113">
        <f t="shared" si="22"/>
        <v>76.650811116916159</v>
      </c>
      <c r="O42" s="113">
        <f t="shared" si="22"/>
        <v>76.141188325625791</v>
      </c>
      <c r="P42" s="113">
        <f t="shared" si="22"/>
        <v>74.597738578823794</v>
      </c>
      <c r="Q42" s="113">
        <f t="shared" si="22"/>
        <v>70.745664999072801</v>
      </c>
      <c r="R42" s="113">
        <f t="shared" si="22"/>
        <v>63.067946038655293</v>
      </c>
      <c r="S42" s="113">
        <f t="shared" si="22"/>
        <v>50.799485615440013</v>
      </c>
      <c r="T42" s="113">
        <f t="shared" si="22"/>
        <v>33.472306740895711</v>
      </c>
      <c r="U42" s="113">
        <f t="shared" si="22"/>
        <v>12.028333566292311</v>
      </c>
      <c r="V42" s="1">
        <f t="shared" si="16"/>
        <v>1054.0384683047657</v>
      </c>
    </row>
    <row r="43" spans="1:23" x14ac:dyDescent="0.35">
      <c r="A43" s="130" t="s">
        <v>384</v>
      </c>
      <c r="B43" s="132">
        <f t="shared" ref="B43:U43" si="23">SUM(B34:B42)</f>
        <v>0</v>
      </c>
      <c r="C43" s="132">
        <f t="shared" si="23"/>
        <v>0</v>
      </c>
      <c r="D43" s="132">
        <f t="shared" si="23"/>
        <v>0</v>
      </c>
      <c r="E43" s="132">
        <f t="shared" si="23"/>
        <v>0</v>
      </c>
      <c r="F43" s="132">
        <f t="shared" si="23"/>
        <v>2844.9772164086753</v>
      </c>
      <c r="G43" s="132">
        <f t="shared" si="23"/>
        <v>3112.6574361922339</v>
      </c>
      <c r="H43" s="132">
        <f t="shared" si="23"/>
        <v>3250.1138645063475</v>
      </c>
      <c r="I43" s="132">
        <f t="shared" si="23"/>
        <v>3300.708964495348</v>
      </c>
      <c r="J43" s="132">
        <f t="shared" si="23"/>
        <v>3310.6712608313287</v>
      </c>
      <c r="K43" s="132">
        <f t="shared" si="23"/>
        <v>3311.5009127887456</v>
      </c>
      <c r="L43" s="132">
        <f t="shared" si="23"/>
        <v>3312.3305647461634</v>
      </c>
      <c r="M43" s="132">
        <f t="shared" si="23"/>
        <v>3313.1602167035808</v>
      </c>
      <c r="N43" s="132">
        <f t="shared" si="23"/>
        <v>3309.4915550525152</v>
      </c>
      <c r="O43" s="132">
        <f t="shared" si="23"/>
        <v>3287.4879741450013</v>
      </c>
      <c r="P43" s="132">
        <f t="shared" si="23"/>
        <v>3220.8476629955485</v>
      </c>
      <c r="Q43" s="132">
        <f t="shared" si="23"/>
        <v>3054.5297232912762</v>
      </c>
      <c r="R43" s="132">
        <f t="shared" si="23"/>
        <v>2723.0349133692885</v>
      </c>
      <c r="S43" s="132">
        <f t="shared" si="23"/>
        <v>2193.3292837420186</v>
      </c>
      <c r="T43" s="132">
        <f>SUM(T34:T42)</f>
        <v>1445.2073614479257</v>
      </c>
      <c r="U43" s="132">
        <f t="shared" si="23"/>
        <v>109.05044253703426</v>
      </c>
      <c r="V43" s="132">
        <f>SUM(V34:V42)</f>
        <v>45099.099353253034</v>
      </c>
    </row>
    <row r="44" spans="1:23" x14ac:dyDescent="0.35">
      <c r="A44" s="130" t="s">
        <v>95</v>
      </c>
      <c r="B44" s="132">
        <f>B33-B43</f>
        <v>541.27318769240685</v>
      </c>
      <c r="C44" s="132">
        <f t="shared" ref="C44:V44" si="24">C33-C43</f>
        <v>1198.2372837214045</v>
      </c>
      <c r="D44" s="132">
        <f t="shared" si="24"/>
        <v>1861.7378673760538</v>
      </c>
      <c r="E44" s="132">
        <f t="shared" si="24"/>
        <v>2424.8285754070589</v>
      </c>
      <c r="F44" s="132">
        <f t="shared" si="24"/>
        <v>0</v>
      </c>
      <c r="G44" s="132">
        <f t="shared" si="24"/>
        <v>0</v>
      </c>
      <c r="H44" s="132">
        <f t="shared" si="24"/>
        <v>0</v>
      </c>
      <c r="I44" s="132">
        <f t="shared" si="24"/>
        <v>0</v>
      </c>
      <c r="J44" s="132">
        <f t="shared" si="24"/>
        <v>0</v>
      </c>
      <c r="K44" s="132">
        <f t="shared" si="24"/>
        <v>0</v>
      </c>
      <c r="L44" s="132">
        <f t="shared" si="24"/>
        <v>0</v>
      </c>
      <c r="M44" s="132">
        <f t="shared" si="24"/>
        <v>0</v>
      </c>
      <c r="N44" s="132">
        <f t="shared" si="24"/>
        <v>0</v>
      </c>
      <c r="O44" s="132">
        <f t="shared" si="24"/>
        <v>0</v>
      </c>
      <c r="P44" s="132">
        <f t="shared" si="24"/>
        <v>0</v>
      </c>
      <c r="Q44" s="132">
        <f t="shared" si="24"/>
        <v>0</v>
      </c>
      <c r="R44" s="132">
        <f t="shared" si="24"/>
        <v>0</v>
      </c>
      <c r="S44" s="132">
        <f t="shared" si="24"/>
        <v>0</v>
      </c>
      <c r="T44" s="132">
        <f t="shared" si="24"/>
        <v>0</v>
      </c>
      <c r="U44" s="132">
        <f>U33-U43</f>
        <v>410.28741937130366</v>
      </c>
      <c r="V44" s="132">
        <f t="shared" si="24"/>
        <v>6436.3643335682063</v>
      </c>
    </row>
    <row r="47" spans="1:23" x14ac:dyDescent="0.35">
      <c r="A47" s="366" t="s">
        <v>687</v>
      </c>
      <c r="B47" s="367"/>
      <c r="C47" s="367"/>
      <c r="D47" s="367"/>
      <c r="E47" s="367"/>
      <c r="F47" s="367"/>
      <c r="G47" s="367"/>
      <c r="H47" s="367"/>
      <c r="I47" s="367"/>
      <c r="J47" s="367"/>
      <c r="K47" s="367"/>
      <c r="L47" s="367"/>
      <c r="M47" s="367"/>
      <c r="N47" s="367"/>
      <c r="O47" s="367"/>
      <c r="P47" s="367"/>
      <c r="Q47" s="367"/>
      <c r="R47" s="367"/>
      <c r="S47" s="367"/>
      <c r="T47" s="367"/>
      <c r="U47" s="368"/>
    </row>
    <row r="48" spans="1:23" x14ac:dyDescent="0.35">
      <c r="A48" s="122" t="s">
        <v>58</v>
      </c>
      <c r="B48" s="122" t="s">
        <v>133</v>
      </c>
      <c r="C48" s="122" t="s">
        <v>134</v>
      </c>
      <c r="D48" s="122" t="s">
        <v>135</v>
      </c>
      <c r="E48" s="122" t="s">
        <v>136</v>
      </c>
      <c r="F48" s="122" t="s">
        <v>137</v>
      </c>
      <c r="G48" s="122" t="s">
        <v>138</v>
      </c>
      <c r="H48" s="122" t="s">
        <v>139</v>
      </c>
      <c r="I48" s="122" t="s">
        <v>140</v>
      </c>
      <c r="J48" s="122" t="s">
        <v>141</v>
      </c>
      <c r="K48" s="122" t="s">
        <v>142</v>
      </c>
      <c r="L48" s="122" t="s">
        <v>143</v>
      </c>
      <c r="M48" s="122" t="s">
        <v>144</v>
      </c>
      <c r="N48" s="122" t="s">
        <v>145</v>
      </c>
      <c r="O48" s="122" t="s">
        <v>146</v>
      </c>
      <c r="P48" s="122" t="s">
        <v>147</v>
      </c>
      <c r="Q48" s="122" t="s">
        <v>148</v>
      </c>
      <c r="R48" s="122" t="s">
        <v>149</v>
      </c>
      <c r="S48" s="122" t="s">
        <v>150</v>
      </c>
      <c r="T48" s="122" t="s">
        <v>151</v>
      </c>
      <c r="U48" s="122" t="s">
        <v>152</v>
      </c>
      <c r="V48" s="178" t="s">
        <v>122</v>
      </c>
    </row>
    <row r="49" spans="1:22" x14ac:dyDescent="0.35">
      <c r="A49" s="123" t="s">
        <v>357</v>
      </c>
      <c r="B49" s="2" t="str">
        <f t="shared" ref="B49:U49" si="25">IF(B34="-","-",1)</f>
        <v>-</v>
      </c>
      <c r="C49" s="2" t="str">
        <f t="shared" si="25"/>
        <v>-</v>
      </c>
      <c r="D49" s="2" t="str">
        <f t="shared" si="25"/>
        <v>-</v>
      </c>
      <c r="E49" s="2" t="str">
        <f t="shared" si="25"/>
        <v>-</v>
      </c>
      <c r="F49" s="2">
        <f t="shared" si="25"/>
        <v>1</v>
      </c>
      <c r="G49" s="2">
        <f t="shared" si="25"/>
        <v>1</v>
      </c>
      <c r="H49" s="2">
        <f t="shared" si="25"/>
        <v>1</v>
      </c>
      <c r="I49" s="2">
        <f t="shared" si="25"/>
        <v>1</v>
      </c>
      <c r="J49" s="2">
        <f t="shared" si="25"/>
        <v>1</v>
      </c>
      <c r="K49" s="2">
        <f t="shared" si="25"/>
        <v>1</v>
      </c>
      <c r="L49" s="2">
        <f t="shared" si="25"/>
        <v>1</v>
      </c>
      <c r="M49" s="2">
        <f t="shared" si="25"/>
        <v>1</v>
      </c>
      <c r="N49" s="2">
        <f t="shared" si="25"/>
        <v>1</v>
      </c>
      <c r="O49" s="2">
        <f t="shared" si="25"/>
        <v>1</v>
      </c>
      <c r="P49" s="2">
        <f t="shared" si="25"/>
        <v>1</v>
      </c>
      <c r="Q49" s="2">
        <f t="shared" si="25"/>
        <v>1</v>
      </c>
      <c r="R49" s="2">
        <f t="shared" si="25"/>
        <v>1</v>
      </c>
      <c r="S49" s="2">
        <f t="shared" si="25"/>
        <v>1</v>
      </c>
      <c r="T49" s="2">
        <f t="shared" si="25"/>
        <v>1</v>
      </c>
      <c r="U49" s="2" t="str">
        <f t="shared" si="25"/>
        <v>-</v>
      </c>
      <c r="V49">
        <f>SUM(B49:U49)</f>
        <v>15</v>
      </c>
    </row>
    <row r="50" spans="1:22" x14ac:dyDescent="0.35">
      <c r="A50" s="123" t="s">
        <v>358</v>
      </c>
      <c r="B50" s="2" t="str">
        <f t="shared" ref="B50:U50" si="26">IF(B35="-","-",2)</f>
        <v>-</v>
      </c>
      <c r="C50" s="2" t="str">
        <f t="shared" si="26"/>
        <v>-</v>
      </c>
      <c r="D50" s="2" t="str">
        <f t="shared" si="26"/>
        <v>-</v>
      </c>
      <c r="E50" s="2" t="str">
        <f t="shared" si="26"/>
        <v>-</v>
      </c>
      <c r="F50" s="2">
        <f t="shared" si="26"/>
        <v>2</v>
      </c>
      <c r="G50" s="2">
        <f t="shared" si="26"/>
        <v>2</v>
      </c>
      <c r="H50" s="2">
        <f t="shared" si="26"/>
        <v>2</v>
      </c>
      <c r="I50" s="2">
        <f t="shared" si="26"/>
        <v>2</v>
      </c>
      <c r="J50" s="2">
        <f t="shared" si="26"/>
        <v>2</v>
      </c>
      <c r="K50" s="2">
        <f t="shared" si="26"/>
        <v>2</v>
      </c>
      <c r="L50" s="2">
        <f t="shared" si="26"/>
        <v>2</v>
      </c>
      <c r="M50" s="2">
        <f t="shared" si="26"/>
        <v>2</v>
      </c>
      <c r="N50" s="2">
        <f t="shared" si="26"/>
        <v>2</v>
      </c>
      <c r="O50" s="2">
        <f t="shared" si="26"/>
        <v>2</v>
      </c>
      <c r="P50" s="2">
        <f t="shared" si="26"/>
        <v>2</v>
      </c>
      <c r="Q50" s="2">
        <f t="shared" si="26"/>
        <v>2</v>
      </c>
      <c r="R50" s="2">
        <f t="shared" si="26"/>
        <v>2</v>
      </c>
      <c r="S50" s="2">
        <f t="shared" si="26"/>
        <v>2</v>
      </c>
      <c r="T50" s="2">
        <f t="shared" si="26"/>
        <v>2</v>
      </c>
      <c r="U50" s="2" t="str">
        <f t="shared" si="26"/>
        <v>-</v>
      </c>
      <c r="V50">
        <f>SUM(B50:U50)</f>
        <v>30</v>
      </c>
    </row>
    <row r="51" spans="1:22" x14ac:dyDescent="0.35">
      <c r="A51" s="123" t="s">
        <v>383</v>
      </c>
      <c r="B51" s="2" t="str">
        <f t="shared" ref="B51:U51" si="27">IF(AND(B36="-",B37="-"),"-",2)</f>
        <v>-</v>
      </c>
      <c r="C51" s="2" t="str">
        <f t="shared" si="27"/>
        <v>-</v>
      </c>
      <c r="D51" s="2" t="str">
        <f t="shared" si="27"/>
        <v>-</v>
      </c>
      <c r="E51" s="2" t="str">
        <f t="shared" si="27"/>
        <v>-</v>
      </c>
      <c r="F51" s="2">
        <f t="shared" si="27"/>
        <v>2</v>
      </c>
      <c r="G51" s="2">
        <f t="shared" si="27"/>
        <v>2</v>
      </c>
      <c r="H51" s="2">
        <f t="shared" si="27"/>
        <v>2</v>
      </c>
      <c r="I51" s="2">
        <f t="shared" si="27"/>
        <v>2</v>
      </c>
      <c r="J51" s="2">
        <f t="shared" si="27"/>
        <v>2</v>
      </c>
      <c r="K51" s="2">
        <f t="shared" si="27"/>
        <v>2</v>
      </c>
      <c r="L51" s="2">
        <f t="shared" si="27"/>
        <v>2</v>
      </c>
      <c r="M51" s="2">
        <f t="shared" si="27"/>
        <v>2</v>
      </c>
      <c r="N51" s="2">
        <f t="shared" si="27"/>
        <v>2</v>
      </c>
      <c r="O51" s="2">
        <f t="shared" si="27"/>
        <v>2</v>
      </c>
      <c r="P51" s="2">
        <f t="shared" si="27"/>
        <v>2</v>
      </c>
      <c r="Q51" s="2">
        <f t="shared" si="27"/>
        <v>2</v>
      </c>
      <c r="R51" s="2">
        <f t="shared" si="27"/>
        <v>2</v>
      </c>
      <c r="S51" s="2">
        <f t="shared" si="27"/>
        <v>2</v>
      </c>
      <c r="T51" s="2">
        <f t="shared" si="27"/>
        <v>2</v>
      </c>
      <c r="U51" s="2">
        <f t="shared" si="27"/>
        <v>2</v>
      </c>
      <c r="V51">
        <f>SUM(B51:U51)</f>
        <v>32</v>
      </c>
    </row>
    <row r="52" spans="1:22" x14ac:dyDescent="0.35">
      <c r="A52" s="123" t="s">
        <v>359</v>
      </c>
      <c r="B52" s="2" t="str">
        <f t="shared" ref="B52:U52" si="28">IF(B38="-","-",2)</f>
        <v>-</v>
      </c>
      <c r="C52" s="2" t="str">
        <f t="shared" si="28"/>
        <v>-</v>
      </c>
      <c r="D52" s="2" t="str">
        <f t="shared" si="28"/>
        <v>-</v>
      </c>
      <c r="E52" s="2" t="str">
        <f t="shared" si="28"/>
        <v>-</v>
      </c>
      <c r="F52" s="2">
        <f t="shared" si="28"/>
        <v>2</v>
      </c>
      <c r="G52" s="2">
        <f t="shared" si="28"/>
        <v>2</v>
      </c>
      <c r="H52" s="2">
        <f t="shared" si="28"/>
        <v>2</v>
      </c>
      <c r="I52" s="2">
        <f t="shared" si="28"/>
        <v>2</v>
      </c>
      <c r="J52" s="2">
        <f t="shared" si="28"/>
        <v>2</v>
      </c>
      <c r="K52" s="2">
        <f t="shared" si="28"/>
        <v>2</v>
      </c>
      <c r="L52" s="2">
        <f t="shared" si="28"/>
        <v>2</v>
      </c>
      <c r="M52" s="2">
        <f t="shared" si="28"/>
        <v>2</v>
      </c>
      <c r="N52" s="2">
        <f t="shared" si="28"/>
        <v>2</v>
      </c>
      <c r="O52" s="2">
        <f t="shared" si="28"/>
        <v>2</v>
      </c>
      <c r="P52" s="2">
        <f t="shared" si="28"/>
        <v>2</v>
      </c>
      <c r="Q52" s="2">
        <f t="shared" si="28"/>
        <v>2</v>
      </c>
      <c r="R52" s="2">
        <f t="shared" si="28"/>
        <v>2</v>
      </c>
      <c r="S52" s="2">
        <f t="shared" si="28"/>
        <v>2</v>
      </c>
      <c r="T52" s="2">
        <f t="shared" si="28"/>
        <v>2</v>
      </c>
      <c r="U52" s="2">
        <f t="shared" si="28"/>
        <v>2</v>
      </c>
      <c r="V52">
        <f>SUM(B52:U52)</f>
        <v>32</v>
      </c>
    </row>
    <row r="53" spans="1:22" x14ac:dyDescent="0.35">
      <c r="A53" s="123" t="s">
        <v>360</v>
      </c>
      <c r="B53" s="2" t="str">
        <f t="shared" ref="B53:U53" si="29">IF((COUNT(B39:B42,"&gt;1"))=0,"-",COUNT(B39:B42,"&gt;1")*2)</f>
        <v>-</v>
      </c>
      <c r="C53" s="2" t="str">
        <f t="shared" si="29"/>
        <v>-</v>
      </c>
      <c r="D53" s="2" t="str">
        <f t="shared" si="29"/>
        <v>-</v>
      </c>
      <c r="E53" s="2" t="str">
        <f t="shared" si="29"/>
        <v>-</v>
      </c>
      <c r="F53" s="2">
        <f t="shared" si="29"/>
        <v>8</v>
      </c>
      <c r="G53" s="2">
        <f t="shared" si="29"/>
        <v>8</v>
      </c>
      <c r="H53" s="2">
        <f t="shared" si="29"/>
        <v>8</v>
      </c>
      <c r="I53" s="2">
        <f t="shared" si="29"/>
        <v>8</v>
      </c>
      <c r="J53" s="2">
        <f t="shared" si="29"/>
        <v>8</v>
      </c>
      <c r="K53" s="2">
        <f t="shared" si="29"/>
        <v>8</v>
      </c>
      <c r="L53" s="2">
        <f t="shared" si="29"/>
        <v>8</v>
      </c>
      <c r="M53" s="2">
        <f t="shared" si="29"/>
        <v>8</v>
      </c>
      <c r="N53" s="2">
        <f t="shared" si="29"/>
        <v>8</v>
      </c>
      <c r="O53" s="2">
        <f t="shared" si="29"/>
        <v>8</v>
      </c>
      <c r="P53" s="2">
        <f t="shared" si="29"/>
        <v>8</v>
      </c>
      <c r="Q53" s="2">
        <f t="shared" si="29"/>
        <v>8</v>
      </c>
      <c r="R53" s="2">
        <f t="shared" si="29"/>
        <v>8</v>
      </c>
      <c r="S53" s="2">
        <f t="shared" si="29"/>
        <v>8</v>
      </c>
      <c r="T53" s="2">
        <f t="shared" si="29"/>
        <v>8</v>
      </c>
      <c r="U53" s="2">
        <f t="shared" si="29"/>
        <v>8</v>
      </c>
      <c r="V53">
        <f>SUM(B53:U53)</f>
        <v>128</v>
      </c>
    </row>
  </sheetData>
  <mergeCells count="4">
    <mergeCell ref="A47:U47"/>
    <mergeCell ref="A2:D2"/>
    <mergeCell ref="A16:W16"/>
    <mergeCell ref="A31:V31"/>
  </mergeCells>
  <pageMargins left="0.70866141732283472" right="0.70866141732283472" top="0.74803149606299213" bottom="0.74803149606299213" header="0.31496062992125984" footer="0.31496062992125984"/>
  <pageSetup paperSize="9" scale="3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1501-4B7E-444C-93EE-BEB66965347F}">
  <sheetPr>
    <pageSetUpPr autoPageBreaks="0"/>
  </sheetPr>
  <dimension ref="A4:AC59"/>
  <sheetViews>
    <sheetView showGridLines="0" topLeftCell="I42" zoomScale="85" zoomScaleNormal="85" workbookViewId="0">
      <selection activeCell="AB37" sqref="AB37"/>
    </sheetView>
  </sheetViews>
  <sheetFormatPr defaultRowHeight="14.5" x14ac:dyDescent="0.35"/>
  <cols>
    <col min="2" max="2" width="15.453125" bestFit="1" customWidth="1"/>
    <col min="23" max="23" width="17.1796875" bestFit="1" customWidth="1"/>
    <col min="28" max="28" width="11" bestFit="1" customWidth="1"/>
  </cols>
  <sheetData>
    <row r="4" spans="1:24" x14ac:dyDescent="0.35">
      <c r="C4" s="343" t="s">
        <v>689</v>
      </c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73"/>
    </row>
    <row r="5" spans="1:24" x14ac:dyDescent="0.35">
      <c r="B5" s="140"/>
      <c r="C5" s="113" t="s">
        <v>389</v>
      </c>
      <c r="D5" s="343" t="s">
        <v>688</v>
      </c>
      <c r="E5" s="344"/>
      <c r="F5" s="344"/>
      <c r="G5" s="343">
        <v>1</v>
      </c>
      <c r="H5" s="373"/>
      <c r="I5" s="343">
        <v>2</v>
      </c>
      <c r="J5" s="373"/>
      <c r="K5" s="343">
        <v>3</v>
      </c>
      <c r="L5" s="373"/>
      <c r="M5" s="343">
        <v>4</v>
      </c>
      <c r="N5" s="373"/>
      <c r="O5" s="343">
        <v>5</v>
      </c>
      <c r="P5" s="373"/>
      <c r="Q5" s="343">
        <v>6</v>
      </c>
      <c r="R5" s="373"/>
      <c r="S5" s="343">
        <v>7</v>
      </c>
      <c r="T5" s="373"/>
      <c r="U5" s="2">
        <v>8</v>
      </c>
      <c r="V5" s="113" t="s">
        <v>390</v>
      </c>
    </row>
    <row r="6" spans="1:24" x14ac:dyDescent="0.35">
      <c r="B6" s="140"/>
      <c r="C6" s="113" t="s">
        <v>133</v>
      </c>
      <c r="D6" s="113" t="s">
        <v>134</v>
      </c>
      <c r="E6" s="113" t="s">
        <v>135</v>
      </c>
      <c r="F6" s="113" t="s">
        <v>136</v>
      </c>
      <c r="G6" s="113" t="s">
        <v>137</v>
      </c>
      <c r="H6" s="113" t="s">
        <v>138</v>
      </c>
      <c r="I6" s="113" t="s">
        <v>139</v>
      </c>
      <c r="J6" s="113" t="s">
        <v>140</v>
      </c>
      <c r="K6" s="113" t="s">
        <v>141</v>
      </c>
      <c r="L6" s="113" t="s">
        <v>142</v>
      </c>
      <c r="M6" s="113" t="s">
        <v>143</v>
      </c>
      <c r="N6" s="113" t="s">
        <v>144</v>
      </c>
      <c r="O6" s="113" t="s">
        <v>145</v>
      </c>
      <c r="P6" s="113" t="s">
        <v>146</v>
      </c>
      <c r="Q6" s="113" t="s">
        <v>147</v>
      </c>
      <c r="R6" s="113" t="s">
        <v>148</v>
      </c>
      <c r="S6" s="113" t="s">
        <v>149</v>
      </c>
      <c r="T6" s="113" t="s">
        <v>150</v>
      </c>
      <c r="U6" s="113" t="s">
        <v>151</v>
      </c>
      <c r="V6" s="113" t="s">
        <v>152</v>
      </c>
      <c r="W6" s="113" t="s">
        <v>391</v>
      </c>
      <c r="X6" s="1">
        <f>SUM(C7:V24)</f>
        <v>45099.099353253019</v>
      </c>
    </row>
    <row r="7" spans="1:24" ht="15" customHeight="1" x14ac:dyDescent="0.35">
      <c r="A7" s="372" t="s">
        <v>690</v>
      </c>
      <c r="B7" s="113" t="s">
        <v>358</v>
      </c>
      <c r="C7" s="2" t="str">
        <f>IF(Tanques!B35="-","-",Tanques!B35/2)</f>
        <v>-</v>
      </c>
      <c r="D7" s="2" t="str">
        <f>IF(Tanques!C35="-","-",Tanques!C35/2)</f>
        <v>-</v>
      </c>
      <c r="E7" s="2" t="str">
        <f>IF(Tanques!D35="-","-",Tanques!D35/2)</f>
        <v>-</v>
      </c>
      <c r="F7" s="2" t="str">
        <f>IF(Tanques!E35="-","-",Tanques!E35/2)</f>
        <v>-</v>
      </c>
      <c r="G7" s="2">
        <f>IF(Tanques!F35="-","-",Tanques!F35/2)</f>
        <v>43.863058993367972</v>
      </c>
      <c r="H7" s="2">
        <f>IF(Tanques!G35="-","-",Tanques!G35/2)</f>
        <v>47.990077376504743</v>
      </c>
      <c r="I7" s="2">
        <f>IF(Tanques!H35="-","-",Tanques!H35/2)</f>
        <v>50.109341948953819</v>
      </c>
      <c r="J7" s="2">
        <f>IF(Tanques!I35="-","-",Tanques!I35/2)</f>
        <v>50.889402978192663</v>
      </c>
      <c r="K7" s="2">
        <f>IF(Tanques!J35="-","-",Tanques!J35/2)</f>
        <v>51.042998862677869</v>
      </c>
      <c r="L7" s="2">
        <f>IF(Tanques!K35="-","-",Tanques!K35/2)</f>
        <v>51.055790203340372</v>
      </c>
      <c r="M7" s="2">
        <f>IF(Tanques!L35="-","-",Tanques!L35/2)</f>
        <v>51.068581544002882</v>
      </c>
      <c r="N7" s="2">
        <f>IF(Tanques!M35="-","-",Tanques!M35/2)</f>
        <v>51.081372884665392</v>
      </c>
      <c r="O7" s="2">
        <f>IF(Tanques!N35="-","-",Tanques!N35/2)</f>
        <v>51.024810490597964</v>
      </c>
      <c r="P7" s="2">
        <f>IF(Tanques!O35="-","-",Tanques!O35/2)</f>
        <v>50.685565465419863</v>
      </c>
      <c r="Q7" s="2">
        <f>IF(Tanques!P35="-","-",Tanques!P35/2)</f>
        <v>49.65812388085255</v>
      </c>
      <c r="R7" s="2">
        <f>IF(Tanques!Q35="-","-",Tanques!Q35/2)</f>
        <v>47.09388063882303</v>
      </c>
      <c r="S7" s="2">
        <f>IF(Tanques!R35="-","-",Tanques!R35/2)</f>
        <v>41.982986843350623</v>
      </c>
      <c r="T7" s="2">
        <f>IF(Tanques!S35="-","-",Tanques!S35/2)</f>
        <v>33.816134347150367</v>
      </c>
      <c r="U7" s="2">
        <f>IF(Tanques!T35="-","-",Tanques!T35/2)</f>
        <v>22.28180084790317</v>
      </c>
      <c r="V7" s="2" t="str">
        <f>IF(Tanques!U35="-","-",Tanques!U35/2)</f>
        <v>-</v>
      </c>
      <c r="W7" s="113" t="s">
        <v>358</v>
      </c>
      <c r="X7" s="372" t="s">
        <v>690</v>
      </c>
    </row>
    <row r="8" spans="1:24" x14ac:dyDescent="0.35">
      <c r="A8" s="372"/>
      <c r="B8" s="113" t="s">
        <v>400</v>
      </c>
      <c r="C8" s="2" t="str">
        <f>IF(Tanques!B36="-","-",Tanques!B36/2)</f>
        <v>-</v>
      </c>
      <c r="D8" s="2" t="str">
        <f>IF(Tanques!C36="-","-",Tanques!C36/2)</f>
        <v>-</v>
      </c>
      <c r="E8" s="2" t="str">
        <f>IF(Tanques!D36="-","-",Tanques!D36/2)</f>
        <v>-</v>
      </c>
      <c r="F8" s="2" t="str">
        <f>IF(Tanques!E36="-","-",Tanques!E36/2)</f>
        <v>-</v>
      </c>
      <c r="G8" s="2">
        <f>IF(Tanques!F36="-","-",Tanques!F36/2)</f>
        <v>65.79458849005195</v>
      </c>
      <c r="H8" s="2">
        <f>IF(Tanques!G36="-","-",Tanques!G36/2)</f>
        <v>71.985116064757108</v>
      </c>
      <c r="I8" s="2">
        <f>IF(Tanques!H36="-","-",Tanques!H36/2)</f>
        <v>75.164012923430732</v>
      </c>
      <c r="J8" s="2">
        <f>IF(Tanques!I36="-","-",Tanques!I36/2)</f>
        <v>76.334104467289009</v>
      </c>
      <c r="K8" s="2">
        <f>IF(Tanques!J36="-","-",Tanques!J36/2)</f>
        <v>76.564498294016801</v>
      </c>
      <c r="L8" s="2">
        <f>IF(Tanques!K36="-","-",Tanques!K36/2)</f>
        <v>76.583685305010562</v>
      </c>
      <c r="M8" s="2">
        <f>IF(Tanques!L36="-","-",Tanques!L36/2)</f>
        <v>76.602872316004323</v>
      </c>
      <c r="N8" s="2">
        <f>IF(Tanques!M36="-","-",Tanques!M36/2)</f>
        <v>76.622059326998084</v>
      </c>
      <c r="O8" s="2">
        <f>IF(Tanques!N36="-","-",Tanques!N36/2)</f>
        <v>76.53721573589695</v>
      </c>
      <c r="P8" s="2">
        <f>IF(Tanques!O36="-","-",Tanques!O36/2)</f>
        <v>76.028348198129805</v>
      </c>
      <c r="Q8" s="2">
        <f>IF(Tanques!P36="-","-",Tanques!P36/2)</f>
        <v>74.487185821278842</v>
      </c>
      <c r="R8" s="2">
        <f>IF(Tanques!Q36="-","-",Tanques!Q36/2)</f>
        <v>70.640820958234542</v>
      </c>
      <c r="S8" s="2">
        <f>IF(Tanques!R36="-","-",Tanques!R36/2)</f>
        <v>62.974480265025946</v>
      </c>
      <c r="T8" s="2">
        <f>IF(Tanques!S36="-","-",Tanques!S36/2)</f>
        <v>50.724201520725558</v>
      </c>
      <c r="U8" s="2">
        <f>IF(Tanques!T36="-","-",Tanques!T36/2)</f>
        <v>33.422701271854756</v>
      </c>
      <c r="V8" s="2">
        <f>IF(Tanques!U36="-","-",Tanques!U36/2)</f>
        <v>12.010507751867401</v>
      </c>
      <c r="W8" s="113" t="s">
        <v>400</v>
      </c>
      <c r="X8" s="372"/>
    </row>
    <row r="9" spans="1:24" ht="14.5" customHeight="1" x14ac:dyDescent="0.35">
      <c r="A9" s="372"/>
      <c r="B9" s="113" t="s">
        <v>401</v>
      </c>
      <c r="C9" s="2" t="str">
        <f>IF(Tanques!B37="-","-",Tanques!B37/2)</f>
        <v>-</v>
      </c>
      <c r="D9" s="2" t="str">
        <f>IF(Tanques!C37="-","-",Tanques!C37/2)</f>
        <v>-</v>
      </c>
      <c r="E9" s="2" t="str">
        <f>IF(Tanques!D37="-","-",Tanques!D37/2)</f>
        <v>-</v>
      </c>
      <c r="F9" s="2" t="str">
        <f>IF(Tanques!E37="-","-",Tanques!E37/2)</f>
        <v>-</v>
      </c>
      <c r="G9" s="2">
        <f>IF(Tanques!F37="-","-",Tanques!F37/2)</f>
        <v>85.557778081388591</v>
      </c>
      <c r="H9" s="2">
        <f>IF(Tanques!G37="-","-",Tanques!G37/2)</f>
        <v>93.607798555692838</v>
      </c>
      <c r="I9" s="2">
        <f>IF(Tanques!H37="-","-",Tanques!H37/2)</f>
        <v>97.741563326014997</v>
      </c>
      <c r="J9" s="2">
        <f>IF(Tanques!I37="-","-",Tanques!I37/2)</f>
        <v>99.26312360843049</v>
      </c>
      <c r="K9" s="2">
        <f>IF(Tanques!J37="-","-",Tanques!J37/2)</f>
        <v>99.562722471359464</v>
      </c>
      <c r="L9" s="2">
        <f>IF(Tanques!K37="-","-",Tanques!K37/2)</f>
        <v>99.587672821628743</v>
      </c>
      <c r="M9" s="2">
        <f>IF(Tanques!L37="-","-",Tanques!L37/2)</f>
        <v>99.612623171898036</v>
      </c>
      <c r="N9" s="2">
        <f>IF(Tanques!M37="-","-",Tanques!M37/2)</f>
        <v>99.637573522167301</v>
      </c>
      <c r="O9" s="2">
        <f>IF(Tanques!N37="-","-",Tanques!N37/2)</f>
        <v>99.527244856761072</v>
      </c>
      <c r="P9" s="2">
        <f>IF(Tanques!O37="-","-",Tanques!O37/2)</f>
        <v>98.865525148981646</v>
      </c>
      <c r="Q9" s="2">
        <f>IF(Tanques!P37="-","-",Tanques!P37/2)</f>
        <v>96.861432842120621</v>
      </c>
      <c r="R9" s="2">
        <f>IF(Tanques!Q37="-","-",Tanques!Q37/2)</f>
        <v>91.859707944606413</v>
      </c>
      <c r="S9" s="2">
        <f>IF(Tanques!R37="-","-",Tanques!R37/2)</f>
        <v>81.89057384439036</v>
      </c>
      <c r="T9" s="2">
        <f>IF(Tanques!S37="-","-",Tanques!S37/2)</f>
        <v>65.960591541993608</v>
      </c>
      <c r="U9" s="2">
        <f>IF(Tanques!T37="-","-",Tanques!T37/2)</f>
        <v>43.46211632177404</v>
      </c>
      <c r="V9" s="2">
        <f>IF(Tanques!U37="-","-",Tanques!U37/2)</f>
        <v>15.618189587650342</v>
      </c>
      <c r="W9" s="113" t="s">
        <v>401</v>
      </c>
      <c r="X9" s="372"/>
    </row>
    <row r="10" spans="1:24" x14ac:dyDescent="0.35">
      <c r="A10" s="372"/>
      <c r="B10" s="113" t="s">
        <v>392</v>
      </c>
      <c r="C10" s="2" t="str">
        <f>IF(Tanques!B38="-","-",Tanques!B38/2)</f>
        <v>-</v>
      </c>
      <c r="D10" s="2" t="str">
        <f>IF(Tanques!C38="-","-",Tanques!C38/2)</f>
        <v>-</v>
      </c>
      <c r="E10" s="2" t="str">
        <f>IF(Tanques!D38="-","-",Tanques!D38/2)</f>
        <v>-</v>
      </c>
      <c r="F10" s="2" t="str">
        <f>IF(Tanques!E38="-","-",Tanques!E38/2)</f>
        <v>-</v>
      </c>
      <c r="G10" s="2">
        <f>IF(Tanques!F38="-","-",Tanques!F38/2)</f>
        <v>15.564182155584671</v>
      </c>
      <c r="H10" s="2">
        <f>IF(Tanques!G38="-","-",Tanques!G38/2)</f>
        <v>17.028595886608294</v>
      </c>
      <c r="I10" s="2">
        <f>IF(Tanques!H38="-","-",Tanques!H38/2)</f>
        <v>17.78058675542713</v>
      </c>
      <c r="J10" s="2">
        <f>IF(Tanques!I38="-","-",Tanques!I38/2)</f>
        <v>18.057380308594091</v>
      </c>
      <c r="K10" s="2">
        <f>IF(Tanques!J38="-","-",Tanques!J38/2)</f>
        <v>18.111881621984871</v>
      </c>
      <c r="L10" s="2">
        <f>IF(Tanques!K38="-","-",Tanques!K38/2)</f>
        <v>18.116420447152436</v>
      </c>
      <c r="M10" s="2">
        <f>IF(Tanques!L38="-","-",Tanques!L38/2)</f>
        <v>18.120959272319997</v>
      </c>
      <c r="N10" s="2">
        <f>IF(Tanques!M38="-","-",Tanques!M38/2)</f>
        <v>18.125498097487565</v>
      </c>
      <c r="O10" s="2">
        <f>IF(Tanques!N38="-","-",Tanques!N38/2)</f>
        <v>18.105427737037903</v>
      </c>
      <c r="P10" s="2">
        <f>IF(Tanques!O38="-","-",Tanques!O38/2)</f>
        <v>17.985051468523519</v>
      </c>
      <c r="Q10" s="2">
        <f>IF(Tanques!P38="-","-",Tanques!P38/2)</f>
        <v>17.620478446408352</v>
      </c>
      <c r="R10" s="2">
        <f>IF(Tanques!Q38="-","-",Tanques!Q38/2)</f>
        <v>16.710593230326893</v>
      </c>
      <c r="S10" s="2">
        <f>IF(Tanques!R38="-","-",Tanques!R38/2)</f>
        <v>14.897065313302059</v>
      </c>
      <c r="T10" s="2">
        <f>IF(Tanques!S38="-","-",Tanques!S38/2)</f>
        <v>11.99917394854633</v>
      </c>
      <c r="U10" s="2">
        <f>IF(Tanques!T38="-","-",Tanques!T38/2)</f>
        <v>7.9063798811583412</v>
      </c>
      <c r="V10" s="2">
        <f>IF(Tanques!U38="-","-",Tanques!U38/2)</f>
        <v>2.8411718155116978</v>
      </c>
      <c r="W10" s="113" t="s">
        <v>392</v>
      </c>
      <c r="X10" s="372"/>
    </row>
    <row r="11" spans="1:24" x14ac:dyDescent="0.35">
      <c r="A11" s="372"/>
      <c r="B11" s="113" t="s">
        <v>393</v>
      </c>
      <c r="C11" s="2" t="str">
        <f>IF(Tanques!B39="-","-",Tanques!B39/2)</f>
        <v>-</v>
      </c>
      <c r="D11" s="2" t="str">
        <f>IF(Tanques!C39="-","-",Tanques!C39/2)</f>
        <v>-</v>
      </c>
      <c r="E11" s="2" t="str">
        <f>IF(Tanques!D39="-","-",Tanques!D39/2)</f>
        <v>-</v>
      </c>
      <c r="F11" s="2" t="str">
        <f>IF(Tanques!E39="-","-",Tanques!E39/2)</f>
        <v>-</v>
      </c>
      <c r="G11" s="2">
        <f>IF(Tanques!F39="-","-",Tanques!F39/2)</f>
        <v>32.938916125822601</v>
      </c>
      <c r="H11" s="2">
        <f>IF(Tanques!G39="-","-",Tanques!G39/2)</f>
        <v>36.038096062005891</v>
      </c>
      <c r="I11" s="2">
        <f>IF(Tanques!H39="-","-",Tanques!H39/2)</f>
        <v>37.629555472323851</v>
      </c>
      <c r="J11" s="2">
        <f>IF(Tanques!I39="-","-",Tanques!I39/2)</f>
        <v>38.215341448149339</v>
      </c>
      <c r="K11" s="2">
        <f>IF(Tanques!J39="-","-",Tanques!J39/2)</f>
        <v>38.330684109432831</v>
      </c>
      <c r="L11" s="2">
        <f>IF(Tanques!K39="-","-",Tanques!K39/2)</f>
        <v>38.340289752698233</v>
      </c>
      <c r="M11" s="2">
        <f>IF(Tanques!L39="-","-",Tanques!L39/2)</f>
        <v>38.349895395963614</v>
      </c>
      <c r="N11" s="2">
        <f>IF(Tanques!M39="-","-",Tanques!M39/2)</f>
        <v>38.359501039229016</v>
      </c>
      <c r="O11" s="2">
        <f>IF(Tanques!N39="-","-",Tanques!N39/2)</f>
        <v>38.317025571333701</v>
      </c>
      <c r="P11" s="2">
        <f>IF(Tanques!O39="-","-",Tanques!O39/2)</f>
        <v>38.062269891112365</v>
      </c>
      <c r="Q11" s="2">
        <f>IF(Tanques!P39="-","-",Tanques!P39/2)</f>
        <v>37.29071375811759</v>
      </c>
      <c r="R11" s="2">
        <f>IF(Tanques!Q39="-","-",Tanques!Q39/2)</f>
        <v>35.36509810308111</v>
      </c>
      <c r="S11" s="2">
        <f>IF(Tanques!R39="-","-",Tanques!R39/2)</f>
        <v>31.527078003240227</v>
      </c>
      <c r="T11" s="2">
        <f>IF(Tanques!S39="-","-",Tanques!S39/2)</f>
        <v>25.394189063027952</v>
      </c>
      <c r="U11" s="2">
        <f>IF(Tanques!T39="-","-",Tanques!T39/2)</f>
        <v>16.732493950600567</v>
      </c>
      <c r="V11" s="2">
        <f>IF(Tanques!U39="-","-",Tanques!U39/2)</f>
        <v>6.0128517640492358</v>
      </c>
      <c r="W11" s="113" t="s">
        <v>393</v>
      </c>
      <c r="X11" s="372"/>
    </row>
    <row r="12" spans="1:24" x14ac:dyDescent="0.35">
      <c r="A12" s="372"/>
      <c r="B12" s="113" t="s">
        <v>394</v>
      </c>
      <c r="C12" s="2" t="str">
        <f>IF(Tanques!B40="-","-",Tanques!B40/2)</f>
        <v>-</v>
      </c>
      <c r="D12" s="2" t="str">
        <f>IF(Tanques!C40="-","-",Tanques!C40/2)</f>
        <v>-</v>
      </c>
      <c r="E12" s="2" t="str">
        <f>IF(Tanques!D40="-","-",Tanques!D40/2)</f>
        <v>-</v>
      </c>
      <c r="F12" s="2" t="str">
        <f>IF(Tanques!E40="-","-",Tanques!E40/2)</f>
        <v>-</v>
      </c>
      <c r="G12" s="2">
        <f>IF(Tanques!F40="-","-",Tanques!F40/2)</f>
        <v>32.946119912883553</v>
      </c>
      <c r="H12" s="2">
        <f>IF(Tanques!G40="-","-",Tanques!G40/2)</f>
        <v>36.045977644056777</v>
      </c>
      <c r="I12" s="2">
        <f>IF(Tanques!H40="-","-",Tanques!H40/2)</f>
        <v>37.637785108775333</v>
      </c>
      <c r="J12" s="2">
        <f>IF(Tanques!I40="-","-",Tanques!I40/2)</f>
        <v>38.223699196813655</v>
      </c>
      <c r="K12" s="2">
        <f>IF(Tanques!J40="-","-",Tanques!J40/2)</f>
        <v>38.339067083698602</v>
      </c>
      <c r="L12" s="2">
        <f>IF(Tanques!K40="-","-",Tanques!K40/2)</f>
        <v>38.348674827731621</v>
      </c>
      <c r="M12" s="2">
        <f>IF(Tanques!L40="-","-",Tanques!L40/2)</f>
        <v>38.358282571764647</v>
      </c>
      <c r="N12" s="2">
        <f>IF(Tanques!M40="-","-",Tanques!M40/2)</f>
        <v>38.367890315797673</v>
      </c>
      <c r="O12" s="2">
        <f>IF(Tanques!N40="-","-",Tanques!N40/2)</f>
        <v>38.32540555845808</v>
      </c>
      <c r="P12" s="2">
        <f>IF(Tanques!O40="-","-",Tanques!O40/2)</f>
        <v>38.070594162812895</v>
      </c>
      <c r="Q12" s="2">
        <f>IF(Tanques!P40="-","-",Tanques!P40/2)</f>
        <v>37.298869289411897</v>
      </c>
      <c r="R12" s="2">
        <f>IF(Tanques!Q40="-","-",Tanques!Q40/2)</f>
        <v>35.372832499536401</v>
      </c>
      <c r="S12" s="2">
        <f>IF(Tanques!R40="-","-",Tanques!R40/2)</f>
        <v>31.533973019327647</v>
      </c>
      <c r="T12" s="2">
        <f>IF(Tanques!S40="-","-",Tanques!S40/2)</f>
        <v>25.399742807720006</v>
      </c>
      <c r="U12" s="2">
        <f>IF(Tanques!T40="-","-",Tanques!T40/2)</f>
        <v>16.736153370447855</v>
      </c>
      <c r="V12" s="2">
        <f>IF(Tanques!U40="-","-",Tanques!U40/2)</f>
        <v>6.0141667831461554</v>
      </c>
      <c r="W12" s="113" t="s">
        <v>394</v>
      </c>
      <c r="X12" s="372"/>
    </row>
    <row r="13" spans="1:24" x14ac:dyDescent="0.35">
      <c r="A13" s="372"/>
      <c r="B13" s="113" t="s">
        <v>395</v>
      </c>
      <c r="C13" s="2" t="str">
        <f>IF(Tanques!B41="-","-",Tanques!B41/2)</f>
        <v>-</v>
      </c>
      <c r="D13" s="2" t="str">
        <f>IF(Tanques!C41="-","-",Tanques!C41/2)</f>
        <v>-</v>
      </c>
      <c r="E13" s="2" t="str">
        <f>IF(Tanques!D41="-","-",Tanques!D41/2)</f>
        <v>-</v>
      </c>
      <c r="F13" s="2" t="str">
        <f>IF(Tanques!E41="-","-",Tanques!E41/2)</f>
        <v>-</v>
      </c>
      <c r="G13" s="2">
        <f>IF(Tanques!F41="-","-",Tanques!F41/2)</f>
        <v>32.946119912883553</v>
      </c>
      <c r="H13" s="2">
        <f>IF(Tanques!G41="-","-",Tanques!G41/2)</f>
        <v>36.045977644056777</v>
      </c>
      <c r="I13" s="2">
        <f>IF(Tanques!H41="-","-",Tanques!H41/2)</f>
        <v>37.637785108775333</v>
      </c>
      <c r="J13" s="2">
        <f>IF(Tanques!I41="-","-",Tanques!I41/2)</f>
        <v>38.223699196813655</v>
      </c>
      <c r="K13" s="2">
        <f>IF(Tanques!J41="-","-",Tanques!J41/2)</f>
        <v>38.339067083698602</v>
      </c>
      <c r="L13" s="2">
        <f>IF(Tanques!K41="-","-",Tanques!K41/2)</f>
        <v>38.348674827731621</v>
      </c>
      <c r="M13" s="2">
        <f>IF(Tanques!L41="-","-",Tanques!L41/2)</f>
        <v>38.358282571764647</v>
      </c>
      <c r="N13" s="2">
        <f>IF(Tanques!M41="-","-",Tanques!M41/2)</f>
        <v>38.367890315797673</v>
      </c>
      <c r="O13" s="2">
        <f>IF(Tanques!N41="-","-",Tanques!N41/2)</f>
        <v>38.32540555845808</v>
      </c>
      <c r="P13" s="2">
        <f>IF(Tanques!O41="-","-",Tanques!O41/2)</f>
        <v>38.070594162812895</v>
      </c>
      <c r="Q13" s="2">
        <f>IF(Tanques!P41="-","-",Tanques!P41/2)</f>
        <v>37.298869289411897</v>
      </c>
      <c r="R13" s="2">
        <f>IF(Tanques!Q41="-","-",Tanques!Q41/2)</f>
        <v>35.372832499536401</v>
      </c>
      <c r="S13" s="2">
        <f>IF(Tanques!R41="-","-",Tanques!R41/2)</f>
        <v>31.533973019327647</v>
      </c>
      <c r="T13" s="2">
        <f>IF(Tanques!S41="-","-",Tanques!S41/2)</f>
        <v>25.399742807720006</v>
      </c>
      <c r="U13" s="2">
        <f>IF(Tanques!T41="-","-",Tanques!T41/2)</f>
        <v>16.736153370447855</v>
      </c>
      <c r="V13" s="2">
        <f>IF(Tanques!U41="-","-",Tanques!U41/2)</f>
        <v>6.0141667831461554</v>
      </c>
      <c r="W13" s="113" t="s">
        <v>395</v>
      </c>
      <c r="X13" s="372"/>
    </row>
    <row r="14" spans="1:24" x14ac:dyDescent="0.35">
      <c r="A14" s="372"/>
      <c r="B14" s="113" t="s">
        <v>396</v>
      </c>
      <c r="C14" s="2" t="str">
        <f>IF(Tanques!B42="-","-",Tanques!B42/2)</f>
        <v>-</v>
      </c>
      <c r="D14" s="2" t="str">
        <f>IF(Tanques!C42="-","-",Tanques!C42/2)</f>
        <v>-</v>
      </c>
      <c r="E14" s="2" t="str">
        <f>IF(Tanques!D42="-","-",Tanques!D42/2)</f>
        <v>-</v>
      </c>
      <c r="F14" s="2" t="str">
        <f>IF(Tanques!E42="-","-",Tanques!E42/2)</f>
        <v>-</v>
      </c>
      <c r="G14" s="2">
        <f>IF(Tanques!F42="-","-",Tanques!F42/2)</f>
        <v>32.946119912883553</v>
      </c>
      <c r="H14" s="2">
        <f>IF(Tanques!G42="-","-",Tanques!G42/2)</f>
        <v>36.045977644056777</v>
      </c>
      <c r="I14" s="2">
        <f>IF(Tanques!H42="-","-",Tanques!H42/2)</f>
        <v>37.637785108775333</v>
      </c>
      <c r="J14" s="2">
        <f>IF(Tanques!I42="-","-",Tanques!I42/2)</f>
        <v>38.223699196813655</v>
      </c>
      <c r="K14" s="2">
        <f>IF(Tanques!J42="-","-",Tanques!J42/2)</f>
        <v>38.339067083698602</v>
      </c>
      <c r="L14" s="2">
        <f>IF(Tanques!K42="-","-",Tanques!K42/2)</f>
        <v>38.348674827731621</v>
      </c>
      <c r="M14" s="2">
        <f>IF(Tanques!L42="-","-",Tanques!L42/2)</f>
        <v>38.358282571764647</v>
      </c>
      <c r="N14" s="2">
        <f>IF(Tanques!M42="-","-",Tanques!M42/2)</f>
        <v>38.367890315797673</v>
      </c>
      <c r="O14" s="2">
        <f>IF(Tanques!N42="-","-",Tanques!N42/2)</f>
        <v>38.32540555845808</v>
      </c>
      <c r="P14" s="2">
        <f>IF(Tanques!O42="-","-",Tanques!O42/2)</f>
        <v>38.070594162812895</v>
      </c>
      <c r="Q14" s="2">
        <f>IF(Tanques!P42="-","-",Tanques!P42/2)</f>
        <v>37.298869289411897</v>
      </c>
      <c r="R14" s="2">
        <f>IF(Tanques!Q42="-","-",Tanques!Q42/2)</f>
        <v>35.372832499536401</v>
      </c>
      <c r="S14" s="2">
        <f>IF(Tanques!R42="-","-",Tanques!R42/2)</f>
        <v>31.533973019327647</v>
      </c>
      <c r="T14" s="2">
        <f>IF(Tanques!S42="-","-",Tanques!S42/2)</f>
        <v>25.399742807720006</v>
      </c>
      <c r="U14" s="2">
        <f>IF(Tanques!T42="-","-",Tanques!T42/2)</f>
        <v>16.736153370447855</v>
      </c>
      <c r="V14" s="2">
        <f>IF(Tanques!U42="-","-",Tanques!U42/2)</f>
        <v>6.0141667831461554</v>
      </c>
      <c r="W14" s="113" t="s">
        <v>396</v>
      </c>
      <c r="X14" s="372"/>
    </row>
    <row r="15" spans="1:24" x14ac:dyDescent="0.35">
      <c r="A15" s="144"/>
      <c r="B15" s="113" t="s">
        <v>397</v>
      </c>
      <c r="D15" s="2" t="s">
        <v>123</v>
      </c>
      <c r="E15" s="2" t="s">
        <v>123</v>
      </c>
      <c r="F15" s="2" t="s">
        <v>123</v>
      </c>
      <c r="G15" s="2" t="s">
        <v>123</v>
      </c>
      <c r="H15" s="2" t="s">
        <v>123</v>
      </c>
      <c r="I15" s="2" t="s">
        <v>123</v>
      </c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123</v>
      </c>
      <c r="O15" s="2" t="s">
        <v>123</v>
      </c>
      <c r="P15" s="2" t="s">
        <v>123</v>
      </c>
      <c r="Q15" s="2" t="s">
        <v>123</v>
      </c>
      <c r="R15" s="2" t="s">
        <v>123</v>
      </c>
      <c r="S15" s="2" t="s">
        <v>123</v>
      </c>
      <c r="T15" s="2" t="s">
        <v>123</v>
      </c>
      <c r="U15" s="2" t="s">
        <v>123</v>
      </c>
      <c r="V15" s="2" t="s">
        <v>123</v>
      </c>
      <c r="W15" s="113" t="s">
        <v>398</v>
      </c>
      <c r="X15" s="145"/>
    </row>
    <row r="16" spans="1:24" x14ac:dyDescent="0.35">
      <c r="A16" s="146"/>
      <c r="B16" s="113" t="s">
        <v>399</v>
      </c>
      <c r="C16" s="2" t="str">
        <f>IF(Tanques!B34="-","-",Tanques!B34)</f>
        <v>-</v>
      </c>
      <c r="D16" s="2" t="str">
        <f>IF(Tanques!C34="-","-",Tanques!C34)</f>
        <v>-</v>
      </c>
      <c r="E16" s="2" t="str">
        <f>IF(Tanques!D34="-","-",Tanques!D34)</f>
        <v>-</v>
      </c>
      <c r="F16" s="2" t="str">
        <f>IF(Tanques!E34="-","-",Tanques!E34)</f>
        <v>-</v>
      </c>
      <c r="G16" s="2">
        <f>IF(Tanques!F34="-","-",Tanques!F34)</f>
        <v>2159.8634492389424</v>
      </c>
      <c r="H16" s="2">
        <f>IF(Tanques!G34="-","-",Tanques!G34)</f>
        <v>2363.0822024367544</v>
      </c>
      <c r="I16" s="2">
        <f>IF(Tanques!H34="-","-",Tanques!H34)</f>
        <v>2467.4370330013953</v>
      </c>
      <c r="J16" s="2">
        <f>IF(Tanques!I34="-","-",Tanques!I34)</f>
        <v>2505.8480636931549</v>
      </c>
      <c r="K16" s="2">
        <f>IF(Tanques!J34="-","-",Tanques!J34)</f>
        <v>2513.4112876101931</v>
      </c>
      <c r="L16" s="2">
        <f>IF(Tanques!K34="-","-",Tanques!K34)</f>
        <v>2514.041146762695</v>
      </c>
      <c r="M16" s="2">
        <f>IF(Tanques!L34="-","-",Tanques!L34)</f>
        <v>2514.6710059151974</v>
      </c>
      <c r="N16" s="2">
        <f>IF(Tanques!M34="-","-",Tanques!M34)</f>
        <v>2515.3008650677002</v>
      </c>
      <c r="O16" s="2">
        <f>IF(Tanques!N34="-","-",Tanques!N34)</f>
        <v>2512.5156729185119</v>
      </c>
      <c r="P16" s="2">
        <f>IF(Tanques!O34="-","-",Tanques!O34)</f>
        <v>2495.8108888237884</v>
      </c>
      <c r="Q16" s="2">
        <f>IF(Tanques!P34="-","-",Tanques!P34)</f>
        <v>2445.2185777615214</v>
      </c>
      <c r="R16" s="2">
        <f>IF(Tanques!Q34="-","-",Tanques!Q34)</f>
        <v>2318.9525265439138</v>
      </c>
      <c r="S16" s="2">
        <f>IF(Tanques!R34="-","-",Tanques!R34)</f>
        <v>2067.2867067147035</v>
      </c>
      <c r="T16" s="2">
        <f>IF(Tanques!S34="-","-",Tanques!S34)</f>
        <v>1665.1422460528108</v>
      </c>
      <c r="U16" s="2">
        <f>IF(Tanques!T34="-","-",Tanques!T34)</f>
        <v>1097.1794566786571</v>
      </c>
      <c r="V16" s="2" t="str">
        <f>IF(Tanques!U34="-","-",Tanques!U34)</f>
        <v>-</v>
      </c>
      <c r="W16" s="113" t="s">
        <v>399</v>
      </c>
      <c r="X16" s="147"/>
    </row>
    <row r="17" spans="1:24" ht="14.5" customHeight="1" x14ac:dyDescent="0.35">
      <c r="A17" s="372" t="s">
        <v>691</v>
      </c>
      <c r="B17" s="113" t="s">
        <v>396</v>
      </c>
      <c r="C17" s="2" t="str">
        <f>C14</f>
        <v>-</v>
      </c>
      <c r="D17" s="2" t="str">
        <f t="shared" ref="D17:V17" si="0">D14</f>
        <v>-</v>
      </c>
      <c r="E17" s="2" t="str">
        <f t="shared" si="0"/>
        <v>-</v>
      </c>
      <c r="F17" s="2" t="str">
        <f t="shared" si="0"/>
        <v>-</v>
      </c>
      <c r="G17" s="2">
        <f t="shared" si="0"/>
        <v>32.946119912883553</v>
      </c>
      <c r="H17" s="2">
        <f t="shared" si="0"/>
        <v>36.045977644056777</v>
      </c>
      <c r="I17" s="2">
        <f t="shared" si="0"/>
        <v>37.637785108775333</v>
      </c>
      <c r="J17" s="2">
        <f t="shared" si="0"/>
        <v>38.223699196813655</v>
      </c>
      <c r="K17" s="2">
        <f t="shared" si="0"/>
        <v>38.339067083698602</v>
      </c>
      <c r="L17" s="2">
        <f t="shared" si="0"/>
        <v>38.348674827731621</v>
      </c>
      <c r="M17" s="2">
        <f t="shared" si="0"/>
        <v>38.358282571764647</v>
      </c>
      <c r="N17" s="2">
        <f t="shared" si="0"/>
        <v>38.367890315797673</v>
      </c>
      <c r="O17" s="2">
        <f t="shared" si="0"/>
        <v>38.32540555845808</v>
      </c>
      <c r="P17" s="2">
        <f t="shared" si="0"/>
        <v>38.070594162812895</v>
      </c>
      <c r="Q17" s="2">
        <f t="shared" si="0"/>
        <v>37.298869289411897</v>
      </c>
      <c r="R17" s="2">
        <f t="shared" si="0"/>
        <v>35.372832499536401</v>
      </c>
      <c r="S17" s="2">
        <f t="shared" si="0"/>
        <v>31.533973019327647</v>
      </c>
      <c r="T17" s="2">
        <f t="shared" si="0"/>
        <v>25.399742807720006</v>
      </c>
      <c r="U17" s="2">
        <f t="shared" si="0"/>
        <v>16.736153370447855</v>
      </c>
      <c r="V17" s="2">
        <f t="shared" si="0"/>
        <v>6.0141667831461554</v>
      </c>
      <c r="W17" s="113" t="s">
        <v>396</v>
      </c>
      <c r="X17" s="372" t="s">
        <v>691</v>
      </c>
    </row>
    <row r="18" spans="1:24" x14ac:dyDescent="0.35">
      <c r="A18" s="372"/>
      <c r="B18" s="113" t="s">
        <v>395</v>
      </c>
      <c r="C18" s="2" t="str">
        <f>C13</f>
        <v>-</v>
      </c>
      <c r="D18" s="2" t="str">
        <f t="shared" ref="D18:V18" si="1">D13</f>
        <v>-</v>
      </c>
      <c r="E18" s="2" t="str">
        <f t="shared" si="1"/>
        <v>-</v>
      </c>
      <c r="F18" s="2" t="str">
        <f t="shared" si="1"/>
        <v>-</v>
      </c>
      <c r="G18" s="2">
        <f t="shared" si="1"/>
        <v>32.946119912883553</v>
      </c>
      <c r="H18" s="2">
        <f t="shared" si="1"/>
        <v>36.045977644056777</v>
      </c>
      <c r="I18" s="2">
        <f t="shared" si="1"/>
        <v>37.637785108775333</v>
      </c>
      <c r="J18" s="2">
        <f t="shared" si="1"/>
        <v>38.223699196813655</v>
      </c>
      <c r="K18" s="2">
        <f t="shared" si="1"/>
        <v>38.339067083698602</v>
      </c>
      <c r="L18" s="2">
        <f t="shared" si="1"/>
        <v>38.348674827731621</v>
      </c>
      <c r="M18" s="2">
        <f t="shared" si="1"/>
        <v>38.358282571764647</v>
      </c>
      <c r="N18" s="2">
        <f t="shared" si="1"/>
        <v>38.367890315797673</v>
      </c>
      <c r="O18" s="2">
        <f t="shared" si="1"/>
        <v>38.32540555845808</v>
      </c>
      <c r="P18" s="2">
        <f t="shared" si="1"/>
        <v>38.070594162812895</v>
      </c>
      <c r="Q18" s="2">
        <f t="shared" si="1"/>
        <v>37.298869289411897</v>
      </c>
      <c r="R18" s="2">
        <f t="shared" si="1"/>
        <v>35.372832499536401</v>
      </c>
      <c r="S18" s="2">
        <f t="shared" si="1"/>
        <v>31.533973019327647</v>
      </c>
      <c r="T18" s="2">
        <f t="shared" si="1"/>
        <v>25.399742807720006</v>
      </c>
      <c r="U18" s="2">
        <f t="shared" si="1"/>
        <v>16.736153370447855</v>
      </c>
      <c r="V18" s="2">
        <f t="shared" si="1"/>
        <v>6.0141667831461554</v>
      </c>
      <c r="W18" s="113" t="s">
        <v>395</v>
      </c>
      <c r="X18" s="372"/>
    </row>
    <row r="19" spans="1:24" x14ac:dyDescent="0.35">
      <c r="A19" s="372"/>
      <c r="B19" s="113" t="s">
        <v>394</v>
      </c>
      <c r="C19" s="2" t="str">
        <f>C12</f>
        <v>-</v>
      </c>
      <c r="D19" s="2" t="str">
        <f t="shared" ref="D19:V19" si="2">D12</f>
        <v>-</v>
      </c>
      <c r="E19" s="2" t="str">
        <f t="shared" si="2"/>
        <v>-</v>
      </c>
      <c r="F19" s="2" t="str">
        <f t="shared" si="2"/>
        <v>-</v>
      </c>
      <c r="G19" s="2">
        <f t="shared" si="2"/>
        <v>32.946119912883553</v>
      </c>
      <c r="H19" s="2">
        <f t="shared" si="2"/>
        <v>36.045977644056777</v>
      </c>
      <c r="I19" s="2">
        <f t="shared" si="2"/>
        <v>37.637785108775333</v>
      </c>
      <c r="J19" s="2">
        <f t="shared" si="2"/>
        <v>38.223699196813655</v>
      </c>
      <c r="K19" s="2">
        <f t="shared" si="2"/>
        <v>38.339067083698602</v>
      </c>
      <c r="L19" s="2">
        <f t="shared" si="2"/>
        <v>38.348674827731621</v>
      </c>
      <c r="M19" s="2">
        <f t="shared" si="2"/>
        <v>38.358282571764647</v>
      </c>
      <c r="N19" s="2">
        <f t="shared" si="2"/>
        <v>38.367890315797673</v>
      </c>
      <c r="O19" s="2">
        <f t="shared" si="2"/>
        <v>38.32540555845808</v>
      </c>
      <c r="P19" s="2">
        <f t="shared" si="2"/>
        <v>38.070594162812895</v>
      </c>
      <c r="Q19" s="2">
        <f t="shared" si="2"/>
        <v>37.298869289411897</v>
      </c>
      <c r="R19" s="2">
        <f t="shared" si="2"/>
        <v>35.372832499536401</v>
      </c>
      <c r="S19" s="2">
        <f t="shared" si="2"/>
        <v>31.533973019327647</v>
      </c>
      <c r="T19" s="2">
        <f t="shared" si="2"/>
        <v>25.399742807720006</v>
      </c>
      <c r="U19" s="2">
        <f t="shared" si="2"/>
        <v>16.736153370447855</v>
      </c>
      <c r="V19" s="2">
        <f t="shared" si="2"/>
        <v>6.0141667831461554</v>
      </c>
      <c r="W19" s="113" t="s">
        <v>394</v>
      </c>
      <c r="X19" s="372"/>
    </row>
    <row r="20" spans="1:24" x14ac:dyDescent="0.35">
      <c r="A20" s="372"/>
      <c r="B20" s="113" t="s">
        <v>393</v>
      </c>
      <c r="C20" s="2" t="str">
        <f>C11</f>
        <v>-</v>
      </c>
      <c r="D20" s="2" t="str">
        <f t="shared" ref="D20:V20" si="3">D11</f>
        <v>-</v>
      </c>
      <c r="E20" s="2" t="str">
        <f t="shared" si="3"/>
        <v>-</v>
      </c>
      <c r="F20" s="2" t="str">
        <f t="shared" si="3"/>
        <v>-</v>
      </c>
      <c r="G20" s="2">
        <f t="shared" si="3"/>
        <v>32.938916125822601</v>
      </c>
      <c r="H20" s="2">
        <f t="shared" si="3"/>
        <v>36.038096062005891</v>
      </c>
      <c r="I20" s="2">
        <f t="shared" si="3"/>
        <v>37.629555472323851</v>
      </c>
      <c r="J20" s="2">
        <f t="shared" si="3"/>
        <v>38.215341448149339</v>
      </c>
      <c r="K20" s="2">
        <f t="shared" si="3"/>
        <v>38.330684109432831</v>
      </c>
      <c r="L20" s="2">
        <f t="shared" si="3"/>
        <v>38.340289752698233</v>
      </c>
      <c r="M20" s="2">
        <f t="shared" si="3"/>
        <v>38.349895395963614</v>
      </c>
      <c r="N20" s="2">
        <f t="shared" si="3"/>
        <v>38.359501039229016</v>
      </c>
      <c r="O20" s="2">
        <f t="shared" si="3"/>
        <v>38.317025571333701</v>
      </c>
      <c r="P20" s="2">
        <f t="shared" si="3"/>
        <v>38.062269891112365</v>
      </c>
      <c r="Q20" s="2">
        <f t="shared" si="3"/>
        <v>37.29071375811759</v>
      </c>
      <c r="R20" s="2">
        <f t="shared" si="3"/>
        <v>35.36509810308111</v>
      </c>
      <c r="S20" s="2">
        <f t="shared" si="3"/>
        <v>31.527078003240227</v>
      </c>
      <c r="T20" s="2">
        <f t="shared" si="3"/>
        <v>25.394189063027952</v>
      </c>
      <c r="U20" s="2">
        <f t="shared" si="3"/>
        <v>16.732493950600567</v>
      </c>
      <c r="V20" s="2">
        <f t="shared" si="3"/>
        <v>6.0128517640492358</v>
      </c>
      <c r="W20" s="113" t="s">
        <v>393</v>
      </c>
      <c r="X20" s="372"/>
    </row>
    <row r="21" spans="1:24" x14ac:dyDescent="0.35">
      <c r="A21" s="372"/>
      <c r="B21" s="113" t="s">
        <v>392</v>
      </c>
      <c r="C21" s="2" t="str">
        <f t="shared" ref="C21:V21" si="4">C10</f>
        <v>-</v>
      </c>
      <c r="D21" s="2" t="str">
        <f t="shared" si="4"/>
        <v>-</v>
      </c>
      <c r="E21" s="2" t="str">
        <f t="shared" si="4"/>
        <v>-</v>
      </c>
      <c r="F21" s="2" t="str">
        <f t="shared" si="4"/>
        <v>-</v>
      </c>
      <c r="G21" s="2">
        <f t="shared" si="4"/>
        <v>15.564182155584671</v>
      </c>
      <c r="H21" s="2">
        <f t="shared" si="4"/>
        <v>17.028595886608294</v>
      </c>
      <c r="I21" s="2">
        <f t="shared" si="4"/>
        <v>17.78058675542713</v>
      </c>
      <c r="J21" s="2">
        <f t="shared" si="4"/>
        <v>18.057380308594091</v>
      </c>
      <c r="K21" s="2">
        <f t="shared" si="4"/>
        <v>18.111881621984871</v>
      </c>
      <c r="L21" s="2">
        <f t="shared" si="4"/>
        <v>18.116420447152436</v>
      </c>
      <c r="M21" s="2">
        <f t="shared" si="4"/>
        <v>18.120959272319997</v>
      </c>
      <c r="N21" s="2">
        <f t="shared" si="4"/>
        <v>18.125498097487565</v>
      </c>
      <c r="O21" s="2">
        <f t="shared" si="4"/>
        <v>18.105427737037903</v>
      </c>
      <c r="P21" s="2">
        <f t="shared" si="4"/>
        <v>17.985051468523519</v>
      </c>
      <c r="Q21" s="2">
        <f t="shared" si="4"/>
        <v>17.620478446408352</v>
      </c>
      <c r="R21" s="2">
        <f t="shared" si="4"/>
        <v>16.710593230326893</v>
      </c>
      <c r="S21" s="2">
        <f t="shared" si="4"/>
        <v>14.897065313302059</v>
      </c>
      <c r="T21" s="2">
        <f t="shared" si="4"/>
        <v>11.99917394854633</v>
      </c>
      <c r="U21" s="2">
        <f t="shared" si="4"/>
        <v>7.9063798811583412</v>
      </c>
      <c r="V21" s="2">
        <f t="shared" si="4"/>
        <v>2.8411718155116978</v>
      </c>
      <c r="W21" s="113" t="s">
        <v>392</v>
      </c>
      <c r="X21" s="372"/>
    </row>
    <row r="22" spans="1:24" x14ac:dyDescent="0.35">
      <c r="A22" s="372"/>
      <c r="B22" s="113" t="s">
        <v>401</v>
      </c>
      <c r="C22" s="2" t="str">
        <f>C9</f>
        <v>-</v>
      </c>
      <c r="D22" s="2" t="str">
        <f t="shared" ref="D22:V22" si="5">D9</f>
        <v>-</v>
      </c>
      <c r="E22" s="2" t="str">
        <f t="shared" si="5"/>
        <v>-</v>
      </c>
      <c r="F22" s="2" t="str">
        <f t="shared" si="5"/>
        <v>-</v>
      </c>
      <c r="G22" s="2">
        <f t="shared" si="5"/>
        <v>85.557778081388591</v>
      </c>
      <c r="H22" s="2">
        <f t="shared" si="5"/>
        <v>93.607798555692838</v>
      </c>
      <c r="I22" s="2">
        <f t="shared" si="5"/>
        <v>97.741563326014997</v>
      </c>
      <c r="J22" s="2">
        <f t="shared" si="5"/>
        <v>99.26312360843049</v>
      </c>
      <c r="K22" s="2">
        <f t="shared" si="5"/>
        <v>99.562722471359464</v>
      </c>
      <c r="L22" s="2">
        <f t="shared" si="5"/>
        <v>99.587672821628743</v>
      </c>
      <c r="M22" s="2">
        <f t="shared" si="5"/>
        <v>99.612623171898036</v>
      </c>
      <c r="N22" s="2">
        <f t="shared" si="5"/>
        <v>99.637573522167301</v>
      </c>
      <c r="O22" s="2">
        <f t="shared" si="5"/>
        <v>99.527244856761072</v>
      </c>
      <c r="P22" s="2">
        <f t="shared" si="5"/>
        <v>98.865525148981646</v>
      </c>
      <c r="Q22" s="2">
        <f t="shared" si="5"/>
        <v>96.861432842120621</v>
      </c>
      <c r="R22" s="2">
        <f t="shared" si="5"/>
        <v>91.859707944606413</v>
      </c>
      <c r="S22" s="2">
        <f t="shared" si="5"/>
        <v>81.89057384439036</v>
      </c>
      <c r="T22" s="2">
        <f t="shared" si="5"/>
        <v>65.960591541993608</v>
      </c>
      <c r="U22" s="2">
        <f t="shared" si="5"/>
        <v>43.46211632177404</v>
      </c>
      <c r="V22" s="2">
        <f t="shared" si="5"/>
        <v>15.618189587650342</v>
      </c>
      <c r="W22" s="113" t="s">
        <v>401</v>
      </c>
      <c r="X22" s="372"/>
    </row>
    <row r="23" spans="1:24" x14ac:dyDescent="0.35">
      <c r="A23" s="372"/>
      <c r="B23" s="113" t="s">
        <v>400</v>
      </c>
      <c r="C23" s="2" t="str">
        <f>C8</f>
        <v>-</v>
      </c>
      <c r="D23" s="2" t="str">
        <f t="shared" ref="D23:V23" si="6">D8</f>
        <v>-</v>
      </c>
      <c r="E23" s="2" t="str">
        <f t="shared" si="6"/>
        <v>-</v>
      </c>
      <c r="F23" s="2" t="str">
        <f t="shared" si="6"/>
        <v>-</v>
      </c>
      <c r="G23" s="2">
        <f t="shared" si="6"/>
        <v>65.79458849005195</v>
      </c>
      <c r="H23" s="2">
        <f t="shared" si="6"/>
        <v>71.985116064757108</v>
      </c>
      <c r="I23" s="2">
        <f t="shared" si="6"/>
        <v>75.164012923430732</v>
      </c>
      <c r="J23" s="2">
        <f t="shared" si="6"/>
        <v>76.334104467289009</v>
      </c>
      <c r="K23" s="2">
        <f t="shared" si="6"/>
        <v>76.564498294016801</v>
      </c>
      <c r="L23" s="2">
        <f t="shared" si="6"/>
        <v>76.583685305010562</v>
      </c>
      <c r="M23" s="2">
        <f t="shared" si="6"/>
        <v>76.602872316004323</v>
      </c>
      <c r="N23" s="2">
        <f t="shared" si="6"/>
        <v>76.622059326998084</v>
      </c>
      <c r="O23" s="2">
        <f t="shared" si="6"/>
        <v>76.53721573589695</v>
      </c>
      <c r="P23" s="2">
        <f t="shared" si="6"/>
        <v>76.028348198129805</v>
      </c>
      <c r="Q23" s="2">
        <f t="shared" si="6"/>
        <v>74.487185821278842</v>
      </c>
      <c r="R23" s="2">
        <f t="shared" si="6"/>
        <v>70.640820958234542</v>
      </c>
      <c r="S23" s="2">
        <f t="shared" si="6"/>
        <v>62.974480265025946</v>
      </c>
      <c r="T23" s="2">
        <f t="shared" si="6"/>
        <v>50.724201520725558</v>
      </c>
      <c r="U23" s="2">
        <f t="shared" si="6"/>
        <v>33.422701271854756</v>
      </c>
      <c r="V23" s="2">
        <f t="shared" si="6"/>
        <v>12.010507751867401</v>
      </c>
      <c r="W23" s="113" t="s">
        <v>400</v>
      </c>
      <c r="X23" s="372"/>
    </row>
    <row r="24" spans="1:24" x14ac:dyDescent="0.35">
      <c r="A24" s="372"/>
      <c r="B24" s="113" t="s">
        <v>358</v>
      </c>
      <c r="C24" s="2" t="str">
        <f t="shared" ref="C24:V24" si="7">C7</f>
        <v>-</v>
      </c>
      <c r="D24" s="2" t="str">
        <f t="shared" si="7"/>
        <v>-</v>
      </c>
      <c r="E24" s="2" t="str">
        <f t="shared" si="7"/>
        <v>-</v>
      </c>
      <c r="F24" s="2" t="str">
        <f t="shared" si="7"/>
        <v>-</v>
      </c>
      <c r="G24" s="2">
        <f t="shared" si="7"/>
        <v>43.863058993367972</v>
      </c>
      <c r="H24" s="2">
        <f t="shared" si="7"/>
        <v>47.990077376504743</v>
      </c>
      <c r="I24" s="2">
        <f t="shared" si="7"/>
        <v>50.109341948953819</v>
      </c>
      <c r="J24" s="2">
        <f t="shared" si="7"/>
        <v>50.889402978192663</v>
      </c>
      <c r="K24" s="2">
        <f t="shared" si="7"/>
        <v>51.042998862677869</v>
      </c>
      <c r="L24" s="2">
        <f t="shared" si="7"/>
        <v>51.055790203340372</v>
      </c>
      <c r="M24" s="2">
        <f t="shared" si="7"/>
        <v>51.068581544002882</v>
      </c>
      <c r="N24" s="2">
        <f t="shared" si="7"/>
        <v>51.081372884665392</v>
      </c>
      <c r="O24" s="2">
        <f t="shared" si="7"/>
        <v>51.024810490597964</v>
      </c>
      <c r="P24" s="2">
        <f t="shared" si="7"/>
        <v>50.685565465419863</v>
      </c>
      <c r="Q24" s="2">
        <f t="shared" si="7"/>
        <v>49.65812388085255</v>
      </c>
      <c r="R24" s="2">
        <f t="shared" si="7"/>
        <v>47.09388063882303</v>
      </c>
      <c r="S24" s="2">
        <f t="shared" si="7"/>
        <v>41.982986843350623</v>
      </c>
      <c r="T24" s="2">
        <f t="shared" si="7"/>
        <v>33.816134347150367</v>
      </c>
      <c r="U24" s="2">
        <f t="shared" si="7"/>
        <v>22.28180084790317</v>
      </c>
      <c r="V24" s="2" t="str">
        <f t="shared" si="7"/>
        <v>-</v>
      </c>
      <c r="W24" s="113" t="s">
        <v>358</v>
      </c>
      <c r="X24" s="372"/>
    </row>
    <row r="25" spans="1:24" x14ac:dyDescent="0.35">
      <c r="B25" s="113" t="s">
        <v>122</v>
      </c>
      <c r="C25" s="1">
        <f t="shared" ref="C25:U25" si="8">SUM(C7:C24)</f>
        <v>0</v>
      </c>
      <c r="D25" s="1">
        <f t="shared" si="8"/>
        <v>0</v>
      </c>
      <c r="E25" s="1">
        <f t="shared" si="8"/>
        <v>0</v>
      </c>
      <c r="F25" s="1">
        <f t="shared" si="8"/>
        <v>0</v>
      </c>
      <c r="G25" s="1">
        <f t="shared" si="8"/>
        <v>2844.9772164086758</v>
      </c>
      <c r="H25" s="1">
        <f t="shared" si="8"/>
        <v>3112.6574361922326</v>
      </c>
      <c r="I25" s="1">
        <f t="shared" si="8"/>
        <v>3250.1138645063484</v>
      </c>
      <c r="J25" s="1">
        <f t="shared" si="8"/>
        <v>3300.7089644953485</v>
      </c>
      <c r="K25" s="1">
        <f t="shared" si="8"/>
        <v>3310.6712608313278</v>
      </c>
      <c r="L25" s="1">
        <f t="shared" si="8"/>
        <v>3311.5009127887442</v>
      </c>
      <c r="M25" s="1">
        <f t="shared" si="8"/>
        <v>3312.3305647461625</v>
      </c>
      <c r="N25" s="1">
        <f t="shared" si="8"/>
        <v>3313.1602167035808</v>
      </c>
      <c r="O25" s="1">
        <f t="shared" si="8"/>
        <v>3309.4915550525157</v>
      </c>
      <c r="P25" s="1">
        <f t="shared" si="8"/>
        <v>3287.4879741450009</v>
      </c>
      <c r="Q25" s="1">
        <f t="shared" si="8"/>
        <v>3220.8476629955485</v>
      </c>
      <c r="R25" s="1">
        <f t="shared" si="8"/>
        <v>3054.5297232912758</v>
      </c>
      <c r="S25" s="1">
        <f t="shared" si="8"/>
        <v>2723.0349133692885</v>
      </c>
      <c r="T25" s="1">
        <f t="shared" si="8"/>
        <v>2193.3292837420186</v>
      </c>
      <c r="U25" s="1">
        <f t="shared" si="8"/>
        <v>1445.2073614479264</v>
      </c>
      <c r="V25" s="1">
        <f>SUM(V7:V24)</f>
        <v>109.05044253703426</v>
      </c>
      <c r="W25" s="113" t="s">
        <v>122</v>
      </c>
    </row>
    <row r="26" spans="1:24" x14ac:dyDescent="0.35">
      <c r="C26" s="113" t="s">
        <v>133</v>
      </c>
      <c r="D26" s="113" t="s">
        <v>134</v>
      </c>
      <c r="E26" s="113" t="s">
        <v>135</v>
      </c>
      <c r="F26" s="113" t="s">
        <v>136</v>
      </c>
      <c r="G26" s="113" t="s">
        <v>137</v>
      </c>
      <c r="H26" s="113" t="s">
        <v>138</v>
      </c>
      <c r="I26" s="113" t="s">
        <v>139</v>
      </c>
      <c r="J26" s="113" t="s">
        <v>140</v>
      </c>
      <c r="K26" s="113" t="s">
        <v>141</v>
      </c>
      <c r="L26" s="113" t="s">
        <v>142</v>
      </c>
      <c r="M26" s="113" t="s">
        <v>143</v>
      </c>
      <c r="N26" s="113" t="s">
        <v>144</v>
      </c>
      <c r="O26" s="113" t="s">
        <v>145</v>
      </c>
      <c r="P26" s="113" t="s">
        <v>146</v>
      </c>
      <c r="Q26" s="113" t="s">
        <v>147</v>
      </c>
      <c r="R26" s="113" t="s">
        <v>148</v>
      </c>
      <c r="S26" s="113" t="s">
        <v>149</v>
      </c>
      <c r="T26" s="113" t="s">
        <v>150</v>
      </c>
      <c r="U26" s="113" t="s">
        <v>151</v>
      </c>
      <c r="V26" s="113" t="s">
        <v>152</v>
      </c>
    </row>
    <row r="27" spans="1:24" x14ac:dyDescent="0.35">
      <c r="C27" s="148" t="s">
        <v>389</v>
      </c>
      <c r="D27" s="343" t="s">
        <v>688</v>
      </c>
      <c r="E27" s="344"/>
      <c r="F27" s="344"/>
      <c r="G27" s="343">
        <v>1</v>
      </c>
      <c r="H27" s="373"/>
      <c r="I27" s="343">
        <v>2</v>
      </c>
      <c r="J27" s="373"/>
      <c r="K27" s="343">
        <v>3</v>
      </c>
      <c r="L27" s="373"/>
      <c r="M27" s="343">
        <v>4</v>
      </c>
      <c r="N27" s="373"/>
      <c r="O27" s="343">
        <v>5</v>
      </c>
      <c r="P27" s="373"/>
      <c r="Q27" s="343">
        <v>6</v>
      </c>
      <c r="R27" s="373"/>
      <c r="S27" s="343">
        <v>7</v>
      </c>
      <c r="T27" s="373"/>
      <c r="U27" s="2">
        <v>8</v>
      </c>
      <c r="V27" s="148" t="s">
        <v>390</v>
      </c>
    </row>
    <row r="28" spans="1:24" x14ac:dyDescent="0.35">
      <c r="B28" s="113" t="s">
        <v>384</v>
      </c>
      <c r="C28" s="1" cm="1">
        <f t="array" ref="C28:V28">Tanques!B43:U43</f>
        <v>0</v>
      </c>
      <c r="D28" s="1">
        <v>0</v>
      </c>
      <c r="E28" s="1">
        <v>0</v>
      </c>
      <c r="F28" s="1">
        <v>0</v>
      </c>
      <c r="G28" s="1">
        <v>2844.9772164086753</v>
      </c>
      <c r="H28" s="1">
        <v>3112.6574361922339</v>
      </c>
      <c r="I28" s="1">
        <v>3250.1138645063475</v>
      </c>
      <c r="J28" s="1">
        <v>3300.708964495348</v>
      </c>
      <c r="K28" s="1">
        <v>3310.6712608313287</v>
      </c>
      <c r="L28" s="1">
        <v>3311.5009127887456</v>
      </c>
      <c r="M28" s="1">
        <v>3312.3305647461634</v>
      </c>
      <c r="N28" s="1">
        <v>3313.1602167035808</v>
      </c>
      <c r="O28" s="1">
        <v>3309.4915550525152</v>
      </c>
      <c r="P28" s="1">
        <v>3287.4879741450013</v>
      </c>
      <c r="Q28" s="1">
        <v>3220.8476629955485</v>
      </c>
      <c r="R28" s="1">
        <v>3054.5297232912762</v>
      </c>
      <c r="S28" s="1">
        <v>2723.0349133692885</v>
      </c>
      <c r="T28" s="1">
        <v>2193.3292837420186</v>
      </c>
      <c r="U28" s="1">
        <v>1445.2073614479257</v>
      </c>
      <c r="V28" s="1">
        <v>109.05044253703426</v>
      </c>
    </row>
    <row r="29" spans="1:24" x14ac:dyDescent="0.35">
      <c r="B29" s="113" t="s">
        <v>95</v>
      </c>
      <c r="C29" s="1">
        <f>C28-C25</f>
        <v>0</v>
      </c>
      <c r="D29" s="1">
        <f t="shared" ref="D29:V29" si="9">D28-D25</f>
        <v>0</v>
      </c>
      <c r="E29" s="1">
        <f t="shared" si="9"/>
        <v>0</v>
      </c>
      <c r="F29" s="1">
        <f t="shared" si="9"/>
        <v>0</v>
      </c>
      <c r="G29" s="1">
        <f t="shared" si="9"/>
        <v>0</v>
      </c>
      <c r="H29" s="1">
        <f t="shared" si="9"/>
        <v>0</v>
      </c>
      <c r="I29" s="1">
        <f t="shared" si="9"/>
        <v>0</v>
      </c>
      <c r="J29" s="1">
        <f t="shared" si="9"/>
        <v>0</v>
      </c>
      <c r="K29" s="1">
        <f t="shared" si="9"/>
        <v>0</v>
      </c>
      <c r="L29" s="1">
        <f t="shared" si="9"/>
        <v>0</v>
      </c>
      <c r="M29" s="1">
        <f t="shared" si="9"/>
        <v>0</v>
      </c>
      <c r="N29" s="1">
        <f t="shared" si="9"/>
        <v>0</v>
      </c>
      <c r="O29" s="1">
        <f t="shared" si="9"/>
        <v>0</v>
      </c>
      <c r="P29" s="1">
        <f t="shared" si="9"/>
        <v>0</v>
      </c>
      <c r="Q29" s="1">
        <f t="shared" si="9"/>
        <v>0</v>
      </c>
      <c r="R29" s="1">
        <f t="shared" si="9"/>
        <v>0</v>
      </c>
      <c r="S29" s="1">
        <f t="shared" si="9"/>
        <v>0</v>
      </c>
      <c r="T29" s="1">
        <f t="shared" si="9"/>
        <v>0</v>
      </c>
      <c r="U29" s="1">
        <f t="shared" si="9"/>
        <v>0</v>
      </c>
      <c r="V29" s="1">
        <f t="shared" si="9"/>
        <v>0</v>
      </c>
    </row>
    <row r="30" spans="1:24" x14ac:dyDescent="0.35">
      <c r="G30" s="374">
        <f>G16+H16</f>
        <v>4522.9456516756964</v>
      </c>
      <c r="H30" s="374"/>
      <c r="I30" s="374">
        <f>I16+J16</f>
        <v>4973.2850966945498</v>
      </c>
      <c r="J30" s="374"/>
      <c r="K30" s="374">
        <f>K16+L16</f>
        <v>5027.4524343728881</v>
      </c>
      <c r="L30" s="374"/>
      <c r="M30" s="374">
        <f>M16+N16</f>
        <v>5029.9718709828976</v>
      </c>
      <c r="N30" s="374"/>
      <c r="O30" s="374">
        <f>O16+P16</f>
        <v>5008.3265617423003</v>
      </c>
      <c r="P30" s="374"/>
      <c r="Q30" s="374">
        <f>Q16+R16</f>
        <v>4764.1711043054347</v>
      </c>
      <c r="R30" s="374"/>
      <c r="S30" s="374">
        <f>S16+T16</f>
        <v>3732.4289527675146</v>
      </c>
      <c r="T30" s="374"/>
      <c r="U30" s="374">
        <f>U16</f>
        <v>1097.1794566786571</v>
      </c>
      <c r="V30" s="374"/>
    </row>
    <row r="32" spans="1:24" x14ac:dyDescent="0.35">
      <c r="C32" s="343" t="s">
        <v>477</v>
      </c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73"/>
    </row>
    <row r="33" spans="1:29" x14ac:dyDescent="0.35">
      <c r="B33" s="140"/>
      <c r="C33" s="113" t="s">
        <v>389</v>
      </c>
      <c r="D33" s="343" t="s">
        <v>688</v>
      </c>
      <c r="E33" s="344"/>
      <c r="F33" s="344"/>
      <c r="G33" s="343">
        <v>1</v>
      </c>
      <c r="H33" s="373"/>
      <c r="I33" s="343">
        <v>2</v>
      </c>
      <c r="J33" s="373"/>
      <c r="K33" s="343">
        <v>3</v>
      </c>
      <c r="L33" s="373"/>
      <c r="M33" s="343">
        <v>4</v>
      </c>
      <c r="N33" s="373"/>
      <c r="O33" s="343">
        <v>5</v>
      </c>
      <c r="P33" s="373"/>
      <c r="Q33" s="343">
        <v>6</v>
      </c>
      <c r="R33" s="373"/>
      <c r="S33" s="343">
        <v>7</v>
      </c>
      <c r="T33" s="373"/>
      <c r="U33" s="2">
        <v>8</v>
      </c>
      <c r="V33" s="113" t="s">
        <v>390</v>
      </c>
    </row>
    <row r="34" spans="1:29" ht="15" thickBot="1" x14ac:dyDescent="0.4">
      <c r="B34" s="140"/>
      <c r="C34" s="113" t="s">
        <v>133</v>
      </c>
      <c r="D34" s="113" t="s">
        <v>134</v>
      </c>
      <c r="E34" s="113" t="s">
        <v>135</v>
      </c>
      <c r="F34" s="113" t="s">
        <v>136</v>
      </c>
      <c r="G34" s="113" t="s">
        <v>137</v>
      </c>
      <c r="H34" s="113" t="s">
        <v>138</v>
      </c>
      <c r="I34" s="113" t="s">
        <v>139</v>
      </c>
      <c r="J34" s="113" t="s">
        <v>140</v>
      </c>
      <c r="K34" s="113" t="s">
        <v>141</v>
      </c>
      <c r="L34" s="113" t="s">
        <v>142</v>
      </c>
      <c r="M34" s="113" t="s">
        <v>143</v>
      </c>
      <c r="N34" s="113" t="s">
        <v>144</v>
      </c>
      <c r="O34" s="113" t="s">
        <v>145</v>
      </c>
      <c r="P34" s="113" t="s">
        <v>146</v>
      </c>
      <c r="Q34" s="113" t="s">
        <v>147</v>
      </c>
      <c r="R34" s="113" t="s">
        <v>148</v>
      </c>
      <c r="S34" s="113" t="s">
        <v>149</v>
      </c>
      <c r="T34" s="113" t="s">
        <v>150</v>
      </c>
      <c r="U34" s="113" t="s">
        <v>151</v>
      </c>
      <c r="V34" s="113" t="s">
        <v>152</v>
      </c>
      <c r="W34" s="113" t="s">
        <v>391</v>
      </c>
    </row>
    <row r="35" spans="1:29" ht="15.75" customHeight="1" thickBot="1" x14ac:dyDescent="0.4">
      <c r="A35" s="372" t="s">
        <v>690</v>
      </c>
      <c r="B35" s="113" t="s">
        <v>358</v>
      </c>
      <c r="C35" s="2" t="s">
        <v>123</v>
      </c>
      <c r="D35" s="2" t="s">
        <v>123</v>
      </c>
      <c r="E35" s="2" t="s">
        <v>123</v>
      </c>
      <c r="F35" s="2" t="s">
        <v>123</v>
      </c>
      <c r="G35" s="177" t="str">
        <f t="shared" ref="G35:I36" si="10">$AA$38</f>
        <v>FW</v>
      </c>
      <c r="H35" s="177" t="str">
        <f t="shared" si="10"/>
        <v>FW</v>
      </c>
      <c r="I35" s="177" t="str">
        <f t="shared" si="10"/>
        <v>FW</v>
      </c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113" t="s">
        <v>358</v>
      </c>
      <c r="X35" s="372" t="s">
        <v>690</v>
      </c>
      <c r="AB35" s="180" t="s">
        <v>122</v>
      </c>
      <c r="AC35" s="180" t="s">
        <v>130</v>
      </c>
    </row>
    <row r="36" spans="1:29" x14ac:dyDescent="0.35">
      <c r="A36" s="372"/>
      <c r="B36" s="113" t="s">
        <v>400</v>
      </c>
      <c r="C36" s="2" t="s">
        <v>123</v>
      </c>
      <c r="D36" s="2" t="s">
        <v>123</v>
      </c>
      <c r="E36" s="2" t="s">
        <v>123</v>
      </c>
      <c r="F36" s="2" t="s">
        <v>123</v>
      </c>
      <c r="G36" s="177" t="str">
        <f t="shared" si="10"/>
        <v>FW</v>
      </c>
      <c r="H36" s="177" t="str">
        <f t="shared" si="10"/>
        <v>FW</v>
      </c>
      <c r="I36" s="177" t="str">
        <f t="shared" si="10"/>
        <v>FW</v>
      </c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113" t="s">
        <v>400</v>
      </c>
      <c r="X36" s="372"/>
      <c r="AA36" s="183" t="s">
        <v>357</v>
      </c>
      <c r="AB36" s="2">
        <f>SUMIF($C$35:$V$42,"Cargo",$C$7:$V$14)*2+SUMIF($C$43:$V$44,"Cargo",$C$15:$V$16)</f>
        <v>34155.761129219936</v>
      </c>
      <c r="AC36" s="2" t="s">
        <v>123</v>
      </c>
    </row>
    <row r="37" spans="1:29" x14ac:dyDescent="0.35">
      <c r="A37" s="372"/>
      <c r="B37" s="113" t="s">
        <v>401</v>
      </c>
      <c r="C37" s="2" t="s">
        <v>123</v>
      </c>
      <c r="D37" s="2" t="s">
        <v>123</v>
      </c>
      <c r="E37" s="2" t="s">
        <v>123</v>
      </c>
      <c r="F37" s="2" t="s">
        <v>123</v>
      </c>
      <c r="G37" s="181" t="s">
        <v>403</v>
      </c>
      <c r="H37" s="181" t="s">
        <v>403</v>
      </c>
      <c r="I37" s="181" t="s">
        <v>403</v>
      </c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188" t="s">
        <v>96</v>
      </c>
      <c r="W37" s="113" t="s">
        <v>401</v>
      </c>
      <c r="X37" s="372"/>
      <c r="AA37" s="182" t="s">
        <v>96</v>
      </c>
      <c r="AB37" s="2">
        <f>SUMIF($C$35:$V$42,"B",$C$7:$V$14)*2+SUMIF($C$43:$V$44,"B",$C$15:$V$16)</f>
        <v>1045.8801034483743</v>
      </c>
      <c r="AC37" s="2" t="s">
        <v>123</v>
      </c>
    </row>
    <row r="38" spans="1:29" x14ac:dyDescent="0.35">
      <c r="A38" s="372"/>
      <c r="B38" s="113" t="s">
        <v>392</v>
      </c>
      <c r="C38" s="2" t="s">
        <v>123</v>
      </c>
      <c r="D38" s="2" t="s">
        <v>123</v>
      </c>
      <c r="E38" s="2" t="s">
        <v>123</v>
      </c>
      <c r="F38" s="2" t="s">
        <v>123</v>
      </c>
      <c r="G38" s="181" t="s">
        <v>403</v>
      </c>
      <c r="H38" s="181" t="s">
        <v>403</v>
      </c>
      <c r="I38" s="181" t="s">
        <v>403</v>
      </c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188" t="s">
        <v>96</v>
      </c>
      <c r="W38" s="113" t="s">
        <v>392</v>
      </c>
      <c r="X38" s="372"/>
      <c r="AA38" s="184" t="s">
        <v>476</v>
      </c>
      <c r="AB38" s="2">
        <f>SUMIF($C$35:$V$42,"FW",$C$7:$V$14)*2+SUMIF($C$43:$V$44,"FW",$C$15:$V$16)</f>
        <v>709.81239159413258</v>
      </c>
      <c r="AC38" s="23">
        <f>DW!B35</f>
        <v>668.61594556004854</v>
      </c>
    </row>
    <row r="39" spans="1:29" x14ac:dyDescent="0.35">
      <c r="A39" s="372"/>
      <c r="B39" s="113" t="s">
        <v>393</v>
      </c>
      <c r="C39" s="2" t="s">
        <v>123</v>
      </c>
      <c r="D39" s="2" t="s">
        <v>123</v>
      </c>
      <c r="E39" s="2" t="s">
        <v>123</v>
      </c>
      <c r="F39" s="2" t="s">
        <v>123</v>
      </c>
      <c r="G39" s="181" t="s">
        <v>403</v>
      </c>
      <c r="H39" s="181" t="s">
        <v>403</v>
      </c>
      <c r="I39" s="181" t="s">
        <v>403</v>
      </c>
      <c r="J39" s="181" t="s">
        <v>403</v>
      </c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188" t="s">
        <v>96</v>
      </c>
      <c r="W39" s="113" t="s">
        <v>393</v>
      </c>
      <c r="X39" s="372"/>
      <c r="AA39" s="185" t="s">
        <v>403</v>
      </c>
      <c r="AB39" s="2">
        <f>SUMIF($C$35:$V$42,"Fuel",$C$7:$V$14)*2+SUMIF($C$43:$V$44,"Fuel",$C$15:$V$16)</f>
        <v>1813.3263189132119</v>
      </c>
      <c r="AC39" s="2">
        <f>DW!B65</f>
        <v>1714.5217339534881</v>
      </c>
    </row>
    <row r="40" spans="1:29" x14ac:dyDescent="0.35">
      <c r="A40" s="372"/>
      <c r="B40" s="113" t="s">
        <v>394</v>
      </c>
      <c r="C40" s="2" t="s">
        <v>123</v>
      </c>
      <c r="D40" s="2" t="s">
        <v>123</v>
      </c>
      <c r="E40" s="2" t="s">
        <v>123</v>
      </c>
      <c r="F40" s="2" t="s">
        <v>123</v>
      </c>
      <c r="G40" s="181" t="s">
        <v>403</v>
      </c>
      <c r="H40" s="181" t="s">
        <v>403</v>
      </c>
      <c r="I40" s="181" t="s">
        <v>403</v>
      </c>
      <c r="J40" s="181" t="s">
        <v>403</v>
      </c>
      <c r="K40" s="188" t="s">
        <v>96</v>
      </c>
      <c r="L40" s="231"/>
      <c r="M40" s="188" t="s">
        <v>96</v>
      </c>
      <c r="N40" s="231"/>
      <c r="O40" s="231"/>
      <c r="P40" s="231"/>
      <c r="Q40" s="231"/>
      <c r="R40" s="231"/>
      <c r="S40" s="231"/>
      <c r="T40" s="231"/>
      <c r="U40" s="231"/>
      <c r="V40" s="188" t="s">
        <v>96</v>
      </c>
      <c r="W40" s="113" t="s">
        <v>394</v>
      </c>
      <c r="X40" s="372"/>
      <c r="AA40" s="186" t="s">
        <v>475</v>
      </c>
      <c r="AB40" s="2">
        <f>AB41-SUM(AB36:AB39)</f>
        <v>7374.3194100773762</v>
      </c>
      <c r="AC40" s="2" t="s">
        <v>123</v>
      </c>
    </row>
    <row r="41" spans="1:29" x14ac:dyDescent="0.35">
      <c r="A41" s="372"/>
      <c r="B41" s="113" t="s">
        <v>395</v>
      </c>
      <c r="C41" s="2" t="s">
        <v>123</v>
      </c>
      <c r="D41" s="2" t="s">
        <v>123</v>
      </c>
      <c r="E41" s="2" t="s">
        <v>123</v>
      </c>
      <c r="F41" s="2" t="s">
        <v>123</v>
      </c>
      <c r="G41" s="181" t="s">
        <v>403</v>
      </c>
      <c r="H41" s="181" t="s">
        <v>403</v>
      </c>
      <c r="I41" s="181" t="s">
        <v>403</v>
      </c>
      <c r="J41" s="181" t="s">
        <v>403</v>
      </c>
      <c r="K41" s="188" t="s">
        <v>96</v>
      </c>
      <c r="L41" s="188" t="s">
        <v>96</v>
      </c>
      <c r="M41" s="188" t="s">
        <v>96</v>
      </c>
      <c r="N41" s="231"/>
      <c r="O41" s="231"/>
      <c r="P41" s="231"/>
      <c r="Q41" s="231"/>
      <c r="R41" s="231"/>
      <c r="S41" s="231"/>
      <c r="U41" s="188" t="s">
        <v>96</v>
      </c>
      <c r="V41" s="188" t="s">
        <v>96</v>
      </c>
      <c r="W41" s="113" t="s">
        <v>395</v>
      </c>
      <c r="X41" s="372"/>
      <c r="AA41" s="3"/>
      <c r="AB41" s="3">
        <f>SUM(C7:V14)*2+SUM(C15:V16)</f>
        <v>45099.099353253034</v>
      </c>
      <c r="AC41" s="3"/>
    </row>
    <row r="42" spans="1:29" x14ac:dyDescent="0.35">
      <c r="A42" s="372"/>
      <c r="B42" s="113" t="s">
        <v>396</v>
      </c>
      <c r="C42" s="2" t="s">
        <v>123</v>
      </c>
      <c r="D42" s="2" t="s">
        <v>123</v>
      </c>
      <c r="E42" s="2" t="s">
        <v>123</v>
      </c>
      <c r="F42" s="2" t="s">
        <v>123</v>
      </c>
      <c r="G42" s="181" t="s">
        <v>403</v>
      </c>
      <c r="H42" s="181" t="s">
        <v>403</v>
      </c>
      <c r="I42" s="181" t="s">
        <v>403</v>
      </c>
      <c r="J42" s="181" t="s">
        <v>403</v>
      </c>
      <c r="K42" s="188" t="s">
        <v>96</v>
      </c>
      <c r="L42" s="188" t="s">
        <v>96</v>
      </c>
      <c r="M42" s="188" t="s">
        <v>96</v>
      </c>
      <c r="N42" s="188" t="s">
        <v>96</v>
      </c>
      <c r="O42" s="188" t="s">
        <v>96</v>
      </c>
      <c r="P42" s="188" t="s">
        <v>96</v>
      </c>
      <c r="Q42" s="231"/>
      <c r="R42" s="231"/>
      <c r="S42" s="231"/>
      <c r="T42" s="188" t="s">
        <v>96</v>
      </c>
      <c r="U42" s="188" t="s">
        <v>96</v>
      </c>
      <c r="V42" s="188" t="s">
        <v>96</v>
      </c>
      <c r="W42" s="113" t="s">
        <v>396</v>
      </c>
      <c r="X42" s="372"/>
      <c r="AA42" s="3"/>
      <c r="AB42" s="3"/>
      <c r="AC42" s="3"/>
    </row>
    <row r="43" spans="1:29" x14ac:dyDescent="0.35">
      <c r="A43" s="144"/>
      <c r="B43" s="113" t="s">
        <v>397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Q43" s="2"/>
      <c r="R43" s="2"/>
      <c r="S43" s="2"/>
      <c r="T43" s="2"/>
      <c r="U43" s="2"/>
      <c r="V43" s="2"/>
      <c r="W43" s="113" t="s">
        <v>398</v>
      </c>
      <c r="X43" s="145"/>
      <c r="AA43" s="3"/>
      <c r="AB43" s="3"/>
      <c r="AC43" s="3"/>
    </row>
    <row r="44" spans="1:29" x14ac:dyDescent="0.35">
      <c r="A44" s="146"/>
      <c r="B44" s="113" t="s">
        <v>399</v>
      </c>
      <c r="C44" s="2"/>
      <c r="D44" s="2"/>
      <c r="E44" s="2"/>
      <c r="F44" s="2"/>
      <c r="G44" s="2" t="str">
        <f t="shared" ref="G44:U44" si="11">$AA$36</f>
        <v>Cargo</v>
      </c>
      <c r="H44" s="2" t="str">
        <f t="shared" si="11"/>
        <v>Cargo</v>
      </c>
      <c r="I44" s="2" t="str">
        <f t="shared" si="11"/>
        <v>Cargo</v>
      </c>
      <c r="J44" s="2" t="str">
        <f t="shared" si="11"/>
        <v>Cargo</v>
      </c>
      <c r="K44" s="2" t="str">
        <f t="shared" si="11"/>
        <v>Cargo</v>
      </c>
      <c r="L44" s="2" t="str">
        <f t="shared" si="11"/>
        <v>Cargo</v>
      </c>
      <c r="M44" s="2" t="str">
        <f t="shared" si="11"/>
        <v>Cargo</v>
      </c>
      <c r="N44" s="2" t="str">
        <f t="shared" si="11"/>
        <v>Cargo</v>
      </c>
      <c r="O44" s="2" t="str">
        <f t="shared" si="11"/>
        <v>Cargo</v>
      </c>
      <c r="P44" s="2" t="str">
        <f t="shared" si="11"/>
        <v>Cargo</v>
      </c>
      <c r="Q44" s="2" t="str">
        <f t="shared" si="11"/>
        <v>Cargo</v>
      </c>
      <c r="R44" s="2" t="str">
        <f t="shared" si="11"/>
        <v>Cargo</v>
      </c>
      <c r="S44" s="2" t="str">
        <f t="shared" si="11"/>
        <v>Cargo</v>
      </c>
      <c r="T44" s="2" t="str">
        <f t="shared" si="11"/>
        <v>Cargo</v>
      </c>
      <c r="U44" s="2" t="str">
        <f t="shared" si="11"/>
        <v>Cargo</v>
      </c>
      <c r="V44" s="2"/>
      <c r="W44" s="113" t="s">
        <v>399</v>
      </c>
      <c r="AA44" s="3"/>
      <c r="AB44" s="3"/>
      <c r="AC44" s="3"/>
    </row>
    <row r="45" spans="1:29" x14ac:dyDescent="0.35">
      <c r="AA45" s="3"/>
      <c r="AB45" s="3"/>
      <c r="AC45" s="3"/>
    </row>
    <row r="46" spans="1:29" x14ac:dyDescent="0.35">
      <c r="AA46" s="3"/>
      <c r="AB46" s="3"/>
      <c r="AC46" s="3"/>
    </row>
    <row r="47" spans="1:29" x14ac:dyDescent="0.35">
      <c r="C47" s="343" t="s">
        <v>478</v>
      </c>
      <c r="D47" s="344"/>
      <c r="E47" s="344"/>
      <c r="F47" s="344"/>
      <c r="G47" s="344"/>
      <c r="H47" s="344"/>
      <c r="I47" s="344"/>
      <c r="J47" s="344"/>
      <c r="K47" s="344"/>
      <c r="L47" s="344"/>
      <c r="M47" s="344"/>
      <c r="N47" s="344"/>
      <c r="O47" s="344"/>
      <c r="P47" s="344"/>
      <c r="Q47" s="344"/>
      <c r="R47" s="344"/>
      <c r="S47" s="344"/>
      <c r="T47" s="344"/>
      <c r="U47" s="344"/>
      <c r="V47" s="373"/>
      <c r="AA47" s="3"/>
      <c r="AB47" s="3"/>
      <c r="AC47" s="3"/>
    </row>
    <row r="48" spans="1:29" ht="15" thickBot="1" x14ac:dyDescent="0.4">
      <c r="B48" s="140"/>
      <c r="C48" s="113" t="s">
        <v>389</v>
      </c>
      <c r="D48" s="343" t="s">
        <v>688</v>
      </c>
      <c r="E48" s="344"/>
      <c r="F48" s="344"/>
      <c r="G48" s="343">
        <v>1</v>
      </c>
      <c r="H48" s="373"/>
      <c r="I48" s="343">
        <v>2</v>
      </c>
      <c r="J48" s="373"/>
      <c r="K48" s="343">
        <v>3</v>
      </c>
      <c r="L48" s="373"/>
      <c r="M48" s="343">
        <v>4</v>
      </c>
      <c r="N48" s="373"/>
      <c r="O48" s="343">
        <v>5</v>
      </c>
      <c r="P48" s="373"/>
      <c r="Q48" s="343">
        <v>6</v>
      </c>
      <c r="R48" s="373"/>
      <c r="S48" s="343">
        <v>7</v>
      </c>
      <c r="T48" s="373"/>
      <c r="U48" s="2">
        <v>8</v>
      </c>
      <c r="V48" s="113" t="s">
        <v>390</v>
      </c>
      <c r="AA48" s="3"/>
      <c r="AB48" s="3"/>
      <c r="AC48" s="3"/>
    </row>
    <row r="49" spans="1:29" ht="15" thickBot="1" x14ac:dyDescent="0.4">
      <c r="B49" s="140"/>
      <c r="C49" s="113" t="s">
        <v>133</v>
      </c>
      <c r="D49" s="113" t="s">
        <v>134</v>
      </c>
      <c r="E49" s="113" t="s">
        <v>135</v>
      </c>
      <c r="F49" s="113" t="s">
        <v>136</v>
      </c>
      <c r="G49" s="113" t="s">
        <v>137</v>
      </c>
      <c r="H49" s="113" t="s">
        <v>138</v>
      </c>
      <c r="I49" s="113" t="s">
        <v>139</v>
      </c>
      <c r="J49" s="113" t="s">
        <v>140</v>
      </c>
      <c r="K49" s="113" t="s">
        <v>141</v>
      </c>
      <c r="L49" s="113" t="s">
        <v>142</v>
      </c>
      <c r="M49" s="113" t="s">
        <v>143</v>
      </c>
      <c r="N49" s="113" t="s">
        <v>144</v>
      </c>
      <c r="O49" s="113" t="s">
        <v>145</v>
      </c>
      <c r="P49" s="113" t="s">
        <v>146</v>
      </c>
      <c r="Q49" s="113" t="s">
        <v>147</v>
      </c>
      <c r="R49" s="113" t="s">
        <v>148</v>
      </c>
      <c r="S49" s="113" t="s">
        <v>149</v>
      </c>
      <c r="T49" s="113" t="s">
        <v>150</v>
      </c>
      <c r="U49" s="113" t="s">
        <v>151</v>
      </c>
      <c r="V49" s="113" t="s">
        <v>152</v>
      </c>
      <c r="W49" s="113" t="s">
        <v>391</v>
      </c>
      <c r="AA49" s="3"/>
      <c r="AB49" s="187" t="s">
        <v>122</v>
      </c>
      <c r="AC49" s="187" t="s">
        <v>130</v>
      </c>
    </row>
    <row r="50" spans="1:29" ht="15" customHeight="1" x14ac:dyDescent="0.35">
      <c r="A50" s="372" t="s">
        <v>690</v>
      </c>
      <c r="B50" s="113" t="s">
        <v>358</v>
      </c>
      <c r="C50" s="2" t="s">
        <v>123</v>
      </c>
      <c r="D50" s="2" t="s">
        <v>123</v>
      </c>
      <c r="E50" s="2" t="s">
        <v>123</v>
      </c>
      <c r="F50" s="2" t="s">
        <v>123</v>
      </c>
      <c r="G50" s="177" t="str">
        <f t="shared" ref="G50:I51" si="12">$AA$38</f>
        <v>FW</v>
      </c>
      <c r="H50" s="177" t="str">
        <f t="shared" si="12"/>
        <v>FW</v>
      </c>
      <c r="I50" s="177" t="str">
        <f t="shared" si="12"/>
        <v>FW</v>
      </c>
      <c r="J50" s="188" t="s">
        <v>96</v>
      </c>
      <c r="K50" s="188" t="s">
        <v>96</v>
      </c>
      <c r="L50" s="188" t="s">
        <v>96</v>
      </c>
      <c r="M50" s="188" t="s">
        <v>96</v>
      </c>
      <c r="N50" s="188" t="s">
        <v>96</v>
      </c>
      <c r="O50" s="188" t="s">
        <v>96</v>
      </c>
      <c r="P50" s="1"/>
      <c r="Q50" s="1"/>
      <c r="R50" s="1"/>
      <c r="S50" s="1"/>
      <c r="T50" s="1"/>
      <c r="U50" s="1"/>
      <c r="V50" s="1"/>
      <c r="W50" s="113" t="s">
        <v>358</v>
      </c>
      <c r="X50" s="372" t="s">
        <v>690</v>
      </c>
      <c r="AA50" s="183" t="s">
        <v>357</v>
      </c>
      <c r="AB50" s="2">
        <f>SUMIF($C$50:$V$57,"Cargo",$C$7:$V$14)*2+SUMIF($C$58:$V$59,"Cargo",$C$15:$V$16)</f>
        <v>0</v>
      </c>
      <c r="AC50" s="2" t="s">
        <v>123</v>
      </c>
    </row>
    <row r="51" spans="1:29" x14ac:dyDescent="0.35">
      <c r="A51" s="372"/>
      <c r="B51" s="113" t="s">
        <v>400</v>
      </c>
      <c r="C51" s="2" t="s">
        <v>123</v>
      </c>
      <c r="D51" s="2" t="s">
        <v>123</v>
      </c>
      <c r="E51" s="2" t="s">
        <v>123</v>
      </c>
      <c r="F51" s="2" t="s">
        <v>123</v>
      </c>
      <c r="G51" s="177" t="str">
        <f t="shared" si="12"/>
        <v>FW</v>
      </c>
      <c r="H51" s="177" t="str">
        <f t="shared" si="12"/>
        <v>FW</v>
      </c>
      <c r="I51" s="177" t="str">
        <f t="shared" si="12"/>
        <v>FW</v>
      </c>
      <c r="J51" s="188" t="s">
        <v>96</v>
      </c>
      <c r="K51" s="188" t="s">
        <v>96</v>
      </c>
      <c r="L51" s="188" t="s">
        <v>96</v>
      </c>
      <c r="M51" s="188" t="s">
        <v>96</v>
      </c>
      <c r="N51" s="188" t="s">
        <v>96</v>
      </c>
      <c r="O51" s="188" t="s">
        <v>96</v>
      </c>
      <c r="P51" s="188" t="s">
        <v>96</v>
      </c>
      <c r="Q51" s="1"/>
      <c r="R51" s="1"/>
      <c r="S51" s="1"/>
      <c r="T51" s="1"/>
      <c r="U51" s="1"/>
      <c r="V51" s="1"/>
      <c r="W51" s="113" t="s">
        <v>400</v>
      </c>
      <c r="X51" s="372"/>
      <c r="AA51" s="182" t="s">
        <v>96</v>
      </c>
      <c r="AB51" s="2">
        <f>SUMIF($C$50:$V$57,"B",$C$7:$V$14)*2+SUMIF($C$58:$V$59,"B",$C$15:$V$16)</f>
        <v>25977.447919763574</v>
      </c>
      <c r="AC51" s="2" t="s">
        <v>123</v>
      </c>
    </row>
    <row r="52" spans="1:29" x14ac:dyDescent="0.35">
      <c r="A52" s="372"/>
      <c r="B52" s="113" t="s">
        <v>401</v>
      </c>
      <c r="C52" s="2" t="s">
        <v>123</v>
      </c>
      <c r="D52" s="2" t="s">
        <v>123</v>
      </c>
      <c r="E52" s="2" t="s">
        <v>123</v>
      </c>
      <c r="F52" s="2" t="s">
        <v>123</v>
      </c>
      <c r="G52" s="181" t="s">
        <v>403</v>
      </c>
      <c r="H52" s="181" t="s">
        <v>403</v>
      </c>
      <c r="I52" s="181" t="s">
        <v>403</v>
      </c>
      <c r="J52" s="188" t="s">
        <v>96</v>
      </c>
      <c r="K52" s="188" t="s">
        <v>96</v>
      </c>
      <c r="L52" s="188" t="s">
        <v>96</v>
      </c>
      <c r="M52" s="188" t="s">
        <v>96</v>
      </c>
      <c r="N52" s="188" t="s">
        <v>96</v>
      </c>
      <c r="O52" s="188" t="s">
        <v>96</v>
      </c>
      <c r="P52" s="188" t="s">
        <v>96</v>
      </c>
      <c r="Q52" s="188" t="s">
        <v>96</v>
      </c>
      <c r="R52" s="1"/>
      <c r="S52" s="1"/>
      <c r="T52" s="1"/>
      <c r="U52" s="1"/>
      <c r="V52" s="1"/>
      <c r="W52" s="113" t="s">
        <v>401</v>
      </c>
      <c r="X52" s="372"/>
      <c r="AA52" s="184" t="s">
        <v>476</v>
      </c>
      <c r="AB52" s="2">
        <f>SUMIF($C$50:$V$57,"FW",$C$7:$V$14)*2+SUMIF($C$58:$V$59,"FW",$C$15:$V$16)</f>
        <v>709.81239159413258</v>
      </c>
      <c r="AC52" s="23">
        <f>DW!B35</f>
        <v>668.61594556004854</v>
      </c>
    </row>
    <row r="53" spans="1:29" x14ac:dyDescent="0.35">
      <c r="A53" s="372"/>
      <c r="B53" s="113" t="s">
        <v>392</v>
      </c>
      <c r="C53" s="2" t="s">
        <v>123</v>
      </c>
      <c r="D53" s="2" t="s">
        <v>123</v>
      </c>
      <c r="E53" s="2" t="s">
        <v>123</v>
      </c>
      <c r="F53" s="2" t="s">
        <v>123</v>
      </c>
      <c r="G53" s="181" t="s">
        <v>403</v>
      </c>
      <c r="H53" s="181" t="s">
        <v>403</v>
      </c>
      <c r="I53" s="181" t="s">
        <v>403</v>
      </c>
      <c r="J53" s="188" t="s">
        <v>96</v>
      </c>
      <c r="K53" s="188" t="s">
        <v>96</v>
      </c>
      <c r="L53" s="188" t="s">
        <v>96</v>
      </c>
      <c r="M53" s="188" t="s">
        <v>96</v>
      </c>
      <c r="N53" s="188" t="s">
        <v>96</v>
      </c>
      <c r="O53" s="188" t="s">
        <v>96</v>
      </c>
      <c r="P53" s="188" t="s">
        <v>96</v>
      </c>
      <c r="Q53" s="188" t="s">
        <v>96</v>
      </c>
      <c r="R53" s="1"/>
      <c r="S53" s="1"/>
      <c r="T53" s="188" t="s">
        <v>96</v>
      </c>
      <c r="U53" s="188" t="s">
        <v>96</v>
      </c>
      <c r="V53" s="188" t="s">
        <v>96</v>
      </c>
      <c r="W53" s="113" t="s">
        <v>392</v>
      </c>
      <c r="X53" s="372"/>
      <c r="AA53" s="185" t="s">
        <v>403</v>
      </c>
      <c r="AB53" s="2">
        <f>SUMIF($C$50:$V$57,"Fuel",$C$7:$V$14)*2+SUMIF($C$58:$V$59,"Fuel",$C$15:$V$16)</f>
        <v>1813.3263189132119</v>
      </c>
      <c r="AC53" s="2">
        <f>DW!B65</f>
        <v>1714.5217339534881</v>
      </c>
    </row>
    <row r="54" spans="1:29" x14ac:dyDescent="0.35">
      <c r="A54" s="372"/>
      <c r="B54" s="113" t="s">
        <v>393</v>
      </c>
      <c r="C54" s="2" t="s">
        <v>123</v>
      </c>
      <c r="D54" s="2" t="s">
        <v>123</v>
      </c>
      <c r="E54" s="2" t="s">
        <v>123</v>
      </c>
      <c r="F54" s="2" t="s">
        <v>123</v>
      </c>
      <c r="G54" s="181" t="s">
        <v>403</v>
      </c>
      <c r="H54" s="181" t="s">
        <v>403</v>
      </c>
      <c r="I54" s="181" t="s">
        <v>403</v>
      </c>
      <c r="J54" s="181" t="s">
        <v>403</v>
      </c>
      <c r="K54" s="188" t="s">
        <v>96</v>
      </c>
      <c r="L54" s="188" t="s">
        <v>96</v>
      </c>
      <c r="M54" s="188" t="s">
        <v>96</v>
      </c>
      <c r="N54" s="188" t="s">
        <v>96</v>
      </c>
      <c r="O54" s="188" t="s">
        <v>96</v>
      </c>
      <c r="P54" s="188" t="s">
        <v>96</v>
      </c>
      <c r="Q54" s="188" t="s">
        <v>96</v>
      </c>
      <c r="R54" s="1"/>
      <c r="S54" s="188" t="s">
        <v>96</v>
      </c>
      <c r="T54" s="188" t="s">
        <v>96</v>
      </c>
      <c r="U54" s="188" t="s">
        <v>96</v>
      </c>
      <c r="V54" s="188" t="s">
        <v>96</v>
      </c>
      <c r="W54" s="113" t="s">
        <v>393</v>
      </c>
      <c r="X54" s="372"/>
      <c r="AA54" s="186" t="s">
        <v>475</v>
      </c>
      <c r="AB54" s="2">
        <f>AB55-SUM(AB50:AB53)</f>
        <v>16598.512722982116</v>
      </c>
      <c r="AC54" s="2" t="s">
        <v>123</v>
      </c>
    </row>
    <row r="55" spans="1:29" x14ac:dyDescent="0.35">
      <c r="A55" s="372"/>
      <c r="B55" s="113" t="s">
        <v>394</v>
      </c>
      <c r="C55" s="2" t="s">
        <v>123</v>
      </c>
      <c r="D55" s="2" t="s">
        <v>123</v>
      </c>
      <c r="E55" s="2" t="s">
        <v>123</v>
      </c>
      <c r="F55" s="2" t="s">
        <v>123</v>
      </c>
      <c r="G55" s="181" t="s">
        <v>403</v>
      </c>
      <c r="H55" s="181" t="s">
        <v>403</v>
      </c>
      <c r="I55" s="181" t="s">
        <v>403</v>
      </c>
      <c r="J55" s="181" t="s">
        <v>403</v>
      </c>
      <c r="K55" s="188" t="s">
        <v>96</v>
      </c>
      <c r="L55" s="188" t="s">
        <v>96</v>
      </c>
      <c r="M55" s="188" t="s">
        <v>96</v>
      </c>
      <c r="N55" s="188" t="s">
        <v>96</v>
      </c>
      <c r="O55" s="188" t="s">
        <v>96</v>
      </c>
      <c r="P55" s="188" t="s">
        <v>96</v>
      </c>
      <c r="Q55" s="188" t="s">
        <v>96</v>
      </c>
      <c r="R55" s="188" t="s">
        <v>96</v>
      </c>
      <c r="S55" s="188" t="s">
        <v>96</v>
      </c>
      <c r="T55" s="188" t="s">
        <v>96</v>
      </c>
      <c r="U55" s="188" t="s">
        <v>96</v>
      </c>
      <c r="V55" s="188" t="s">
        <v>96</v>
      </c>
      <c r="W55" s="113" t="s">
        <v>394</v>
      </c>
      <c r="X55" s="372"/>
      <c r="AA55" s="3"/>
      <c r="AB55" s="3">
        <f>SUM(C7:V14)*2+SUM(C15:V16)</f>
        <v>45099.099353253034</v>
      </c>
      <c r="AC55" s="3"/>
    </row>
    <row r="56" spans="1:29" x14ac:dyDescent="0.35">
      <c r="A56" s="372"/>
      <c r="B56" s="113" t="s">
        <v>395</v>
      </c>
      <c r="C56" s="2" t="s">
        <v>123</v>
      </c>
      <c r="D56" s="2" t="s">
        <v>123</v>
      </c>
      <c r="E56" s="2" t="s">
        <v>123</v>
      </c>
      <c r="F56" s="2" t="s">
        <v>123</v>
      </c>
      <c r="G56" s="181" t="s">
        <v>403</v>
      </c>
      <c r="H56" s="181" t="s">
        <v>403</v>
      </c>
      <c r="I56" s="181" t="s">
        <v>403</v>
      </c>
      <c r="J56" s="181" t="s">
        <v>403</v>
      </c>
      <c r="K56" s="188" t="s">
        <v>96</v>
      </c>
      <c r="L56" s="188" t="s">
        <v>96</v>
      </c>
      <c r="M56" s="188" t="s">
        <v>96</v>
      </c>
      <c r="N56" s="188" t="s">
        <v>96</v>
      </c>
      <c r="O56" s="188" t="s">
        <v>96</v>
      </c>
      <c r="P56" s="188" t="s">
        <v>96</v>
      </c>
      <c r="Q56" s="188" t="s">
        <v>96</v>
      </c>
      <c r="R56" s="188" t="s">
        <v>96</v>
      </c>
      <c r="S56" s="188" t="s">
        <v>96</v>
      </c>
      <c r="T56" s="188" t="s">
        <v>96</v>
      </c>
      <c r="U56" s="188" t="s">
        <v>96</v>
      </c>
      <c r="V56" s="188" t="s">
        <v>96</v>
      </c>
      <c r="W56" s="113" t="s">
        <v>395</v>
      </c>
      <c r="X56" s="372"/>
    </row>
    <row r="57" spans="1:29" x14ac:dyDescent="0.35">
      <c r="A57" s="372"/>
      <c r="B57" s="113" t="s">
        <v>396</v>
      </c>
      <c r="C57" s="2" t="s">
        <v>123</v>
      </c>
      <c r="D57" s="2" t="s">
        <v>123</v>
      </c>
      <c r="E57" s="2" t="s">
        <v>123</v>
      </c>
      <c r="F57" s="2" t="s">
        <v>123</v>
      </c>
      <c r="G57" s="181" t="s">
        <v>403</v>
      </c>
      <c r="H57" s="181" t="s">
        <v>403</v>
      </c>
      <c r="I57" s="181" t="s">
        <v>403</v>
      </c>
      <c r="J57" s="181" t="s">
        <v>403</v>
      </c>
      <c r="K57" s="188" t="s">
        <v>96</v>
      </c>
      <c r="L57" s="188" t="s">
        <v>96</v>
      </c>
      <c r="M57" s="188" t="s">
        <v>96</v>
      </c>
      <c r="N57" s="188" t="s">
        <v>96</v>
      </c>
      <c r="O57" s="188" t="s">
        <v>96</v>
      </c>
      <c r="P57" s="188" t="s">
        <v>96</v>
      </c>
      <c r="Q57" s="188" t="s">
        <v>96</v>
      </c>
      <c r="R57" s="188" t="s">
        <v>96</v>
      </c>
      <c r="S57" s="188" t="s">
        <v>96</v>
      </c>
      <c r="T57" s="188" t="s">
        <v>96</v>
      </c>
      <c r="U57" s="188" t="s">
        <v>96</v>
      </c>
      <c r="V57" s="188" t="s">
        <v>96</v>
      </c>
      <c r="W57" s="113" t="s">
        <v>396</v>
      </c>
      <c r="X57" s="372"/>
    </row>
    <row r="58" spans="1:29" x14ac:dyDescent="0.35">
      <c r="A58" s="144"/>
      <c r="B58" s="113" t="s">
        <v>397</v>
      </c>
      <c r="C58" s="2" t="s">
        <v>123</v>
      </c>
      <c r="D58" s="2" t="s">
        <v>123</v>
      </c>
      <c r="E58" s="2" t="s">
        <v>123</v>
      </c>
      <c r="F58" s="2" t="s">
        <v>123</v>
      </c>
      <c r="G58" s="2" t="s">
        <v>123</v>
      </c>
      <c r="H58" s="2" t="s">
        <v>123</v>
      </c>
      <c r="I58" s="2" t="s">
        <v>123</v>
      </c>
      <c r="J58" s="2" t="s">
        <v>123</v>
      </c>
      <c r="K58" s="2" t="s">
        <v>123</v>
      </c>
      <c r="L58" s="2" t="s">
        <v>123</v>
      </c>
      <c r="M58" s="2" t="s">
        <v>123</v>
      </c>
      <c r="N58" s="2" t="s">
        <v>123</v>
      </c>
      <c r="O58" s="2" t="s">
        <v>123</v>
      </c>
      <c r="P58" s="2" t="s">
        <v>123</v>
      </c>
      <c r="Q58" s="2" t="s">
        <v>123</v>
      </c>
      <c r="R58" s="2" t="s">
        <v>123</v>
      </c>
      <c r="S58" s="2" t="s">
        <v>123</v>
      </c>
      <c r="T58" s="2" t="s">
        <v>123</v>
      </c>
      <c r="U58" s="2" t="s">
        <v>123</v>
      </c>
      <c r="V58" s="2" t="s">
        <v>123</v>
      </c>
      <c r="W58" s="113" t="s">
        <v>398</v>
      </c>
      <c r="X58" s="145"/>
    </row>
    <row r="59" spans="1:29" x14ac:dyDescent="0.35">
      <c r="A59" s="146"/>
      <c r="B59" s="113" t="s">
        <v>399</v>
      </c>
      <c r="C59" s="2" t="s">
        <v>123</v>
      </c>
      <c r="D59" s="2" t="s">
        <v>123</v>
      </c>
      <c r="E59" s="2" t="s">
        <v>123</v>
      </c>
      <c r="F59" s="2" t="s">
        <v>123</v>
      </c>
      <c r="G59" s="188" t="s">
        <v>96</v>
      </c>
      <c r="H59" s="188" t="s">
        <v>96</v>
      </c>
      <c r="I59" s="1"/>
      <c r="J59" s="1"/>
      <c r="K59" s="188" t="s">
        <v>96</v>
      </c>
      <c r="L59" s="188" t="s">
        <v>96</v>
      </c>
      <c r="M59" s="1"/>
      <c r="N59" s="1"/>
      <c r="O59" s="188" t="s">
        <v>96</v>
      </c>
      <c r="P59" s="188" t="s">
        <v>96</v>
      </c>
      <c r="Q59" s="1"/>
      <c r="R59" s="1"/>
      <c r="S59" s="188" t="s">
        <v>96</v>
      </c>
      <c r="T59" s="188" t="s">
        <v>96</v>
      </c>
      <c r="U59" s="188" t="s">
        <v>96</v>
      </c>
      <c r="V59" s="1"/>
      <c r="W59" s="113" t="s">
        <v>399</v>
      </c>
    </row>
  </sheetData>
  <mergeCells count="51">
    <mergeCell ref="Q30:R30"/>
    <mergeCell ref="S30:T30"/>
    <mergeCell ref="U30:V30"/>
    <mergeCell ref="G30:H30"/>
    <mergeCell ref="I30:J30"/>
    <mergeCell ref="K30:L30"/>
    <mergeCell ref="M30:N30"/>
    <mergeCell ref="O30:P30"/>
    <mergeCell ref="A50:A57"/>
    <mergeCell ref="X50:X57"/>
    <mergeCell ref="C47:V47"/>
    <mergeCell ref="D48:F48"/>
    <mergeCell ref="G48:H48"/>
    <mergeCell ref="I48:J48"/>
    <mergeCell ref="K48:L48"/>
    <mergeCell ref="M48:N48"/>
    <mergeCell ref="O48:P48"/>
    <mergeCell ref="Q48:R48"/>
    <mergeCell ref="S48:T48"/>
    <mergeCell ref="S33:T33"/>
    <mergeCell ref="A17:A24"/>
    <mergeCell ref="A7:A14"/>
    <mergeCell ref="C4:V4"/>
    <mergeCell ref="D5:F5"/>
    <mergeCell ref="G5:H5"/>
    <mergeCell ref="I5:J5"/>
    <mergeCell ref="K5:L5"/>
    <mergeCell ref="M5:N5"/>
    <mergeCell ref="O5:P5"/>
    <mergeCell ref="Q5:R5"/>
    <mergeCell ref="D33:F33"/>
    <mergeCell ref="G33:H33"/>
    <mergeCell ref="I33:J33"/>
    <mergeCell ref="K33:L33"/>
    <mergeCell ref="M33:N33"/>
    <mergeCell ref="A35:A42"/>
    <mergeCell ref="X35:X42"/>
    <mergeCell ref="S5:T5"/>
    <mergeCell ref="D27:F27"/>
    <mergeCell ref="G27:H27"/>
    <mergeCell ref="I27:J27"/>
    <mergeCell ref="K27:L27"/>
    <mergeCell ref="M27:N27"/>
    <mergeCell ref="O27:P27"/>
    <mergeCell ref="Q27:R27"/>
    <mergeCell ref="S27:T27"/>
    <mergeCell ref="C32:V32"/>
    <mergeCell ref="X7:X14"/>
    <mergeCell ref="X17:X24"/>
    <mergeCell ref="O33:P33"/>
    <mergeCell ref="Q33:R33"/>
  </mergeCells>
  <conditionalFormatting sqref="C16:V16">
    <cfRule type="cellIs" dxfId="1" priority="3" operator="notEqual">
      <formula>"-"</formula>
    </cfRule>
  </conditionalFormatting>
  <conditionalFormatting sqref="G44:U44">
    <cfRule type="cellIs" dxfId="0" priority="2" operator="notEqual">
      <formula>"-"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3AF0-D0CA-4EA2-A937-AB1F49B7E67B}">
  <dimension ref="A1:AF196"/>
  <sheetViews>
    <sheetView topLeftCell="A152" zoomScale="65" workbookViewId="0">
      <selection activeCell="C85" sqref="C85"/>
    </sheetView>
  </sheetViews>
  <sheetFormatPr defaultRowHeight="14.5" x14ac:dyDescent="0.35"/>
  <cols>
    <col min="1" max="1" width="18.54296875" bestFit="1" customWidth="1"/>
    <col min="2" max="2" width="12" bestFit="1" customWidth="1"/>
    <col min="4" max="4" width="9.54296875" bestFit="1" customWidth="1"/>
    <col min="5" max="5" width="11.81640625" customWidth="1"/>
    <col min="13" max="13" width="18.54296875" bestFit="1" customWidth="1"/>
  </cols>
  <sheetData>
    <row r="1" spans="1:24" ht="15" thickBot="1" x14ac:dyDescent="0.4"/>
    <row r="2" spans="1:24" ht="15" thickBot="1" x14ac:dyDescent="0.4">
      <c r="A2" s="149" t="s">
        <v>432</v>
      </c>
      <c r="B2" s="162">
        <f>LW!C7</f>
        <v>187</v>
      </c>
      <c r="D2" s="149" t="s">
        <v>433</v>
      </c>
      <c r="E2" s="163">
        <f>LW!C85</f>
        <v>44574.396370669907</v>
      </c>
      <c r="G2" s="160" t="s">
        <v>434</v>
      </c>
      <c r="H2" s="164">
        <f>Prelude!L2</f>
        <v>30</v>
      </c>
    </row>
    <row r="3" spans="1:24" ht="15" thickBot="1" x14ac:dyDescent="0.4">
      <c r="A3" s="157" t="s">
        <v>435</v>
      </c>
      <c r="B3" s="104">
        <f>LW!C8</f>
        <v>9.35</v>
      </c>
      <c r="D3" s="157" t="s">
        <v>436</v>
      </c>
      <c r="E3" s="165">
        <f>Prelude!K2</f>
        <v>22</v>
      </c>
    </row>
    <row r="5" spans="1:24" x14ac:dyDescent="0.35">
      <c r="A5" s="377" t="s">
        <v>437</v>
      </c>
      <c r="B5" s="377"/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  <c r="N5" s="377"/>
      <c r="O5" s="377"/>
      <c r="P5" s="377"/>
      <c r="Q5" s="377"/>
      <c r="R5" s="377"/>
      <c r="S5" s="377"/>
      <c r="T5" s="377"/>
      <c r="U5" s="377"/>
      <c r="V5" s="377"/>
      <c r="W5" s="377"/>
      <c r="X5" s="377"/>
    </row>
    <row r="6" spans="1:24" x14ac:dyDescent="0.35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  <c r="S6" s="377"/>
      <c r="T6" s="377"/>
      <c r="U6" s="377"/>
      <c r="V6" s="377"/>
      <c r="W6" s="377"/>
      <c r="X6" s="377"/>
    </row>
    <row r="7" spans="1:24" ht="15" thickBot="1" x14ac:dyDescent="0.4">
      <c r="A7" s="9"/>
      <c r="B7" s="9"/>
    </row>
    <row r="8" spans="1:24" ht="15" thickBot="1" x14ac:dyDescent="0.4">
      <c r="A8" s="149" t="s">
        <v>438</v>
      </c>
      <c r="B8" s="150">
        <f>0.15*E3</f>
        <v>3.3</v>
      </c>
      <c r="D8" s="149" t="s">
        <v>439</v>
      </c>
      <c r="E8" s="150">
        <f>(B3/2)-((B3/6)*((B12-B11)/(B12+B11)))</f>
        <v>4.155555555555555</v>
      </c>
      <c r="G8" s="149" t="s">
        <v>440</v>
      </c>
      <c r="H8" s="150">
        <f>E10*((1/2)+(E8/B3))</f>
        <v>0.46749999999999986</v>
      </c>
      <c r="L8" s="151" t="s">
        <v>407</v>
      </c>
      <c r="M8" s="152" t="s">
        <v>408</v>
      </c>
    </row>
    <row r="9" spans="1:24" x14ac:dyDescent="0.35">
      <c r="A9" s="153" t="s">
        <v>441</v>
      </c>
      <c r="B9" s="154">
        <f>B10/3</f>
        <v>3.5294117647058816E-2</v>
      </c>
      <c r="D9" s="153" t="s">
        <v>442</v>
      </c>
      <c r="E9" s="154">
        <f>(B3/2)-((B3/6)*((B13-B12)/(B13+B12)))</f>
        <v>4.3633333333333333</v>
      </c>
      <c r="G9" s="153" t="s">
        <v>443</v>
      </c>
      <c r="H9" s="154">
        <f>E10*((1/2)-(E8/B3))</f>
        <v>2.7500000000000007E-2</v>
      </c>
      <c r="L9" s="155" t="s">
        <v>409</v>
      </c>
      <c r="M9" s="154">
        <f>H8</f>
        <v>0.46749999999999986</v>
      </c>
    </row>
    <row r="10" spans="1:24" ht="15" thickBot="1" x14ac:dyDescent="0.4">
      <c r="A10" s="157" t="s">
        <v>444</v>
      </c>
      <c r="B10" s="104">
        <f>(B8)/(10/3)/(B3)</f>
        <v>0.10588235294117646</v>
      </c>
      <c r="D10" s="153" t="s">
        <v>445</v>
      </c>
      <c r="E10" s="154">
        <f>(B11+B12)*B3/2</f>
        <v>0.49499999999999988</v>
      </c>
      <c r="G10" s="153" t="s">
        <v>446</v>
      </c>
      <c r="H10" s="154">
        <f>E11*((1/2)+(E9/B3))</f>
        <v>0.79749999999999988</v>
      </c>
      <c r="L10" s="155" t="s">
        <v>410</v>
      </c>
      <c r="M10" s="154">
        <f>H9+H10</f>
        <v>0.82499999999999984</v>
      </c>
    </row>
    <row r="11" spans="1:24" x14ac:dyDescent="0.35">
      <c r="A11" s="153" t="s">
        <v>447</v>
      </c>
      <c r="B11" s="154">
        <f>B9</f>
        <v>3.5294117647058816E-2</v>
      </c>
      <c r="D11" s="153" t="s">
        <v>448</v>
      </c>
      <c r="E11" s="154">
        <f>(B12+B13)*B3/2</f>
        <v>0.82499999999999984</v>
      </c>
      <c r="G11" s="153" t="s">
        <v>449</v>
      </c>
      <c r="H11" s="154">
        <f>E11*((1/2)-(E9/B3))</f>
        <v>2.749999999999999E-2</v>
      </c>
      <c r="L11" s="155" t="s">
        <v>412</v>
      </c>
      <c r="M11" s="154">
        <f>H11+H12</f>
        <v>1.0174999999999998</v>
      </c>
    </row>
    <row r="12" spans="1:24" ht="15" thickBot="1" x14ac:dyDescent="0.4">
      <c r="A12" s="153" t="s">
        <v>450</v>
      </c>
      <c r="B12" s="154">
        <f>2*B10/3</f>
        <v>7.0588235294117632E-2</v>
      </c>
      <c r="D12" s="166" t="s">
        <v>455</v>
      </c>
      <c r="E12" s="167">
        <f>SUM(E10:E11)</f>
        <v>1.3199999999999998</v>
      </c>
      <c r="G12" s="153" t="s">
        <v>451</v>
      </c>
      <c r="H12" s="154">
        <f>B13*B3</f>
        <v>0.98999999999999977</v>
      </c>
      <c r="L12" s="155" t="s">
        <v>414</v>
      </c>
      <c r="M12" s="154">
        <f>H13</f>
        <v>0.98999999999999977</v>
      </c>
    </row>
    <row r="13" spans="1:24" ht="15" thickBot="1" x14ac:dyDescent="0.4">
      <c r="A13" s="153" t="s">
        <v>452</v>
      </c>
      <c r="B13" s="154">
        <f>B10</f>
        <v>0.10588235294117646</v>
      </c>
      <c r="G13" s="157" t="s">
        <v>453</v>
      </c>
      <c r="H13" s="104">
        <f>B14*B3</f>
        <v>0.98999999999999977</v>
      </c>
      <c r="L13" s="155" t="s">
        <v>415</v>
      </c>
      <c r="M13" s="154">
        <v>0</v>
      </c>
    </row>
    <row r="14" spans="1:24" ht="15" thickBot="1" x14ac:dyDescent="0.4">
      <c r="A14" s="157" t="s">
        <v>454</v>
      </c>
      <c r="B14" s="104">
        <f>B10</f>
        <v>0.10588235294117646</v>
      </c>
      <c r="G14" s="160" t="s">
        <v>431</v>
      </c>
      <c r="H14" s="168">
        <f>H8+H9+H10+H11+H12+H13</f>
        <v>3.2999999999999994</v>
      </c>
      <c r="L14" s="155" t="s">
        <v>416</v>
      </c>
      <c r="M14" s="154">
        <v>0</v>
      </c>
    </row>
    <row r="15" spans="1:24" x14ac:dyDescent="0.35">
      <c r="L15" s="155" t="s">
        <v>417</v>
      </c>
      <c r="M15" s="154">
        <v>0</v>
      </c>
    </row>
    <row r="16" spans="1:24" x14ac:dyDescent="0.35">
      <c r="L16" s="155" t="s">
        <v>418</v>
      </c>
      <c r="M16" s="154">
        <v>0</v>
      </c>
    </row>
    <row r="17" spans="1:24" x14ac:dyDescent="0.35">
      <c r="L17" s="155" t="s">
        <v>419</v>
      </c>
      <c r="M17" s="154">
        <v>0</v>
      </c>
    </row>
    <row r="18" spans="1:24" x14ac:dyDescent="0.35">
      <c r="L18" s="155" t="s">
        <v>420</v>
      </c>
      <c r="M18" s="154">
        <v>0</v>
      </c>
    </row>
    <row r="19" spans="1:24" x14ac:dyDescent="0.35">
      <c r="L19" s="155" t="s">
        <v>421</v>
      </c>
      <c r="M19" s="154">
        <v>0</v>
      </c>
    </row>
    <row r="20" spans="1:24" x14ac:dyDescent="0.35">
      <c r="L20" s="155" t="s">
        <v>422</v>
      </c>
      <c r="M20" s="154">
        <v>0</v>
      </c>
    </row>
    <row r="21" spans="1:24" x14ac:dyDescent="0.35">
      <c r="L21" s="155" t="s">
        <v>423</v>
      </c>
      <c r="M21" s="154">
        <v>0</v>
      </c>
    </row>
    <row r="22" spans="1:24" x14ac:dyDescent="0.35">
      <c r="D22" s="169"/>
      <c r="L22" s="155" t="s">
        <v>424</v>
      </c>
      <c r="M22" s="154">
        <v>0</v>
      </c>
    </row>
    <row r="23" spans="1:24" x14ac:dyDescent="0.35">
      <c r="L23" s="155" t="s">
        <v>425</v>
      </c>
      <c r="M23" s="154">
        <v>0</v>
      </c>
    </row>
    <row r="24" spans="1:24" x14ac:dyDescent="0.35">
      <c r="L24" s="155" t="s">
        <v>426</v>
      </c>
      <c r="M24" s="154">
        <v>0</v>
      </c>
    </row>
    <row r="25" spans="1:24" x14ac:dyDescent="0.35">
      <c r="L25" s="155" t="s">
        <v>427</v>
      </c>
      <c r="M25" s="154">
        <v>0</v>
      </c>
    </row>
    <row r="26" spans="1:24" x14ac:dyDescent="0.35">
      <c r="L26" s="155" t="s">
        <v>428</v>
      </c>
      <c r="M26" s="154">
        <v>0</v>
      </c>
    </row>
    <row r="27" spans="1:24" x14ac:dyDescent="0.35">
      <c r="L27" s="155" t="s">
        <v>429</v>
      </c>
      <c r="M27" s="154">
        <v>0</v>
      </c>
    </row>
    <row r="28" spans="1:24" ht="15" thickBot="1" x14ac:dyDescent="0.4">
      <c r="L28" s="159" t="s">
        <v>430</v>
      </c>
      <c r="M28" s="104">
        <v>0</v>
      </c>
    </row>
    <row r="29" spans="1:24" ht="15" thickBot="1" x14ac:dyDescent="0.4">
      <c r="L29" s="160" t="s">
        <v>431</v>
      </c>
      <c r="M29" s="107">
        <f>SUM(M9:M28)</f>
        <v>3.2999999999999994</v>
      </c>
    </row>
    <row r="31" spans="1:24" x14ac:dyDescent="0.35">
      <c r="A31" s="377" t="s">
        <v>402</v>
      </c>
      <c r="B31" s="377"/>
      <c r="C31" s="377"/>
      <c r="D31" s="377"/>
      <c r="E31" s="377"/>
      <c r="F31" s="377"/>
      <c r="G31" s="377"/>
      <c r="H31" s="377"/>
      <c r="I31" s="377"/>
      <c r="J31" s="377"/>
      <c r="K31" s="377"/>
      <c r="L31" s="377"/>
      <c r="M31" s="377"/>
      <c r="N31" s="377"/>
      <c r="O31" s="377"/>
      <c r="P31" s="377"/>
      <c r="Q31" s="377"/>
      <c r="R31" s="377"/>
      <c r="S31" s="377"/>
      <c r="T31" s="377"/>
      <c r="U31" s="377"/>
      <c r="V31" s="377"/>
      <c r="W31" s="377"/>
      <c r="X31" s="377"/>
    </row>
    <row r="32" spans="1:24" x14ac:dyDescent="0.35">
      <c r="A32" s="377"/>
      <c r="B32" s="377"/>
      <c r="C32" s="377"/>
      <c r="D32" s="377"/>
      <c r="E32" s="377"/>
      <c r="F32" s="377"/>
      <c r="G32" s="377"/>
      <c r="H32" s="377"/>
      <c r="I32" s="377"/>
      <c r="J32" s="377"/>
      <c r="K32" s="377"/>
      <c r="L32" s="377"/>
      <c r="M32" s="377"/>
      <c r="N32" s="377"/>
      <c r="O32" s="377"/>
      <c r="P32" s="377"/>
      <c r="Q32" s="377"/>
      <c r="R32" s="377"/>
      <c r="S32" s="377"/>
      <c r="T32" s="377"/>
      <c r="U32" s="377"/>
      <c r="V32" s="377"/>
      <c r="W32" s="377"/>
      <c r="X32" s="377"/>
    </row>
    <row r="33" spans="1:32" ht="15" thickBot="1" x14ac:dyDescent="0.4">
      <c r="A33" s="9"/>
      <c r="B33" s="9"/>
      <c r="M33">
        <v>1</v>
      </c>
      <c r="N33">
        <v>2</v>
      </c>
      <c r="O33">
        <v>3</v>
      </c>
      <c r="P33">
        <v>4</v>
      </c>
      <c r="Q33">
        <v>5</v>
      </c>
      <c r="R33">
        <v>6</v>
      </c>
      <c r="S33">
        <v>7</v>
      </c>
      <c r="T33">
        <v>8</v>
      </c>
      <c r="U33">
        <v>9</v>
      </c>
      <c r="V33">
        <v>10</v>
      </c>
      <c r="W33">
        <v>11</v>
      </c>
      <c r="X33">
        <v>12</v>
      </c>
      <c r="Y33">
        <v>13</v>
      </c>
      <c r="Z33">
        <v>14</v>
      </c>
      <c r="AA33">
        <v>15</v>
      </c>
      <c r="AB33">
        <v>16</v>
      </c>
      <c r="AC33">
        <v>17</v>
      </c>
      <c r="AD33">
        <v>18</v>
      </c>
      <c r="AE33">
        <v>19</v>
      </c>
      <c r="AF33">
        <v>20</v>
      </c>
    </row>
    <row r="34" spans="1:32" ht="15" thickBot="1" x14ac:dyDescent="0.4">
      <c r="A34" s="149" t="s">
        <v>456</v>
      </c>
      <c r="B34" s="150">
        <v>1</v>
      </c>
      <c r="L34" s="189" t="s">
        <v>407</v>
      </c>
      <c r="M34" s="192" t="s">
        <v>479</v>
      </c>
      <c r="N34" s="193" t="s">
        <v>480</v>
      </c>
    </row>
    <row r="35" spans="1:32" x14ac:dyDescent="0.35">
      <c r="A35" s="153" t="s">
        <v>457</v>
      </c>
      <c r="B35" s="170">
        <f>0.015*E2</f>
        <v>668.61594556004854</v>
      </c>
      <c r="L35" s="190" t="s">
        <v>409</v>
      </c>
      <c r="M35" s="194">
        <f>SUMIF('Tanques Carga'!C35:C44,"FW",'Tanques Carga'!C7:C16)*2</f>
        <v>0</v>
      </c>
      <c r="N35" s="195">
        <f>M35*$B$34</f>
        <v>0</v>
      </c>
    </row>
    <row r="36" spans="1:32" x14ac:dyDescent="0.35">
      <c r="A36" s="153" t="s">
        <v>458</v>
      </c>
      <c r="B36" s="154">
        <f>0.02*E2</f>
        <v>891.48792741339821</v>
      </c>
      <c r="C36" s="158">
        <f>(B37-B35)/B35</f>
        <v>6.1614513245831899E-2</v>
      </c>
      <c r="L36" s="190" t="s">
        <v>410</v>
      </c>
      <c r="M36" s="194">
        <f>SUMIF('Tanques Carga'!D35:D44,"FW",'Tanques Carga'!D7:D16)*2</f>
        <v>0</v>
      </c>
      <c r="N36" s="195">
        <f t="shared" ref="N36:N54" si="0">M36*$B$34</f>
        <v>0</v>
      </c>
    </row>
    <row r="37" spans="1:32" ht="15" thickBot="1" x14ac:dyDescent="0.4">
      <c r="A37" s="157" t="s">
        <v>692</v>
      </c>
      <c r="B37" s="104">
        <f>'Tanques Carga'!AB38*B34</f>
        <v>709.81239159413258</v>
      </c>
      <c r="C37" s="158">
        <f>(B37-B36)/B36</f>
        <v>-0.20378911506562622</v>
      </c>
      <c r="L37" s="190" t="s">
        <v>412</v>
      </c>
      <c r="M37" s="194">
        <f>SUMIF('Tanques Carga'!E35:E44,"FW",'Tanques Carga'!E7:E16)*2</f>
        <v>0</v>
      </c>
      <c r="N37" s="195">
        <f t="shared" si="0"/>
        <v>0</v>
      </c>
    </row>
    <row r="38" spans="1:32" x14ac:dyDescent="0.35">
      <c r="L38" s="190" t="s">
        <v>414</v>
      </c>
      <c r="M38" s="194">
        <f>SUMIF('Tanques Carga'!F35:F44,"FW",'Tanques Carga'!F7:F16)*2</f>
        <v>0</v>
      </c>
      <c r="N38" s="195">
        <f t="shared" si="0"/>
        <v>0</v>
      </c>
    </row>
    <row r="39" spans="1:32" x14ac:dyDescent="0.35">
      <c r="L39" s="190" t="s">
        <v>415</v>
      </c>
      <c r="M39" s="194">
        <f>SUMIF('Tanques Carga'!G35:G44,"FW",'Tanques Carga'!G7:G16)*2</f>
        <v>219.31529496683984</v>
      </c>
      <c r="N39" s="195">
        <f t="shared" si="0"/>
        <v>219.31529496683984</v>
      </c>
    </row>
    <row r="40" spans="1:32" x14ac:dyDescent="0.35">
      <c r="L40" s="190" t="s">
        <v>416</v>
      </c>
      <c r="M40" s="194">
        <f>SUMIF('Tanques Carga'!H35:H44,"FW",'Tanques Carga'!H7:H16)*2</f>
        <v>239.9503868825237</v>
      </c>
      <c r="N40" s="195">
        <f t="shared" si="0"/>
        <v>239.9503868825237</v>
      </c>
    </row>
    <row r="41" spans="1:32" x14ac:dyDescent="0.35">
      <c r="L41" s="190" t="s">
        <v>417</v>
      </c>
      <c r="M41" s="194">
        <f>SUMIF('Tanques Carga'!I35:I44,"FW",'Tanques Carga'!I7:I16)*2</f>
        <v>250.54670974476909</v>
      </c>
      <c r="N41" s="195">
        <f t="shared" si="0"/>
        <v>250.54670974476909</v>
      </c>
    </row>
    <row r="42" spans="1:32" x14ac:dyDescent="0.35">
      <c r="L42" s="190" t="s">
        <v>418</v>
      </c>
      <c r="M42" s="194">
        <f>SUMIF('Tanques Carga'!J35:J44,"FW",'Tanques Carga'!J7:J16)*2</f>
        <v>0</v>
      </c>
      <c r="N42" s="195">
        <f t="shared" si="0"/>
        <v>0</v>
      </c>
    </row>
    <row r="43" spans="1:32" x14ac:dyDescent="0.35">
      <c r="L43" s="190" t="s">
        <v>419</v>
      </c>
      <c r="M43" s="194">
        <f>SUMIF('Tanques Carga'!K35:K44,"FW",'Tanques Carga'!K7:K16)*2</f>
        <v>0</v>
      </c>
      <c r="N43" s="195">
        <f t="shared" si="0"/>
        <v>0</v>
      </c>
    </row>
    <row r="44" spans="1:32" x14ac:dyDescent="0.35">
      <c r="L44" s="190" t="s">
        <v>420</v>
      </c>
      <c r="M44" s="194">
        <f>SUMIF('Tanques Carga'!L35:L44,"FW",'Tanques Carga'!L7:L16)*2</f>
        <v>0</v>
      </c>
      <c r="N44" s="195">
        <f t="shared" si="0"/>
        <v>0</v>
      </c>
    </row>
    <row r="45" spans="1:32" x14ac:dyDescent="0.35">
      <c r="L45" s="190" t="s">
        <v>421</v>
      </c>
      <c r="M45" s="194">
        <f>SUMIF('Tanques Carga'!M35:M44,"FW",'Tanques Carga'!M7:M16)*2</f>
        <v>0</v>
      </c>
      <c r="N45" s="195">
        <f t="shared" si="0"/>
        <v>0</v>
      </c>
    </row>
    <row r="46" spans="1:32" x14ac:dyDescent="0.35">
      <c r="I46" s="9"/>
      <c r="L46" s="190" t="s">
        <v>422</v>
      </c>
      <c r="M46" s="194">
        <f>SUMIF('Tanques Carga'!N35:N44,"FW",'Tanques Carga'!N7:N16)*2</f>
        <v>0</v>
      </c>
      <c r="N46" s="195">
        <f t="shared" si="0"/>
        <v>0</v>
      </c>
    </row>
    <row r="47" spans="1:32" x14ac:dyDescent="0.35">
      <c r="L47" s="190" t="s">
        <v>423</v>
      </c>
      <c r="M47" s="194">
        <f>SUMIF('Tanques Carga'!O35:O44,"FW",'Tanques Carga'!O7:O16)*2</f>
        <v>0</v>
      </c>
      <c r="N47" s="195">
        <f t="shared" si="0"/>
        <v>0</v>
      </c>
    </row>
    <row r="48" spans="1:32" x14ac:dyDescent="0.35">
      <c r="L48" s="190" t="s">
        <v>424</v>
      </c>
      <c r="M48" s="194">
        <f>SUMIF('Tanques Carga'!P35:P44,"FW",'Tanques Carga'!P7:P16)*2</f>
        <v>0</v>
      </c>
      <c r="N48" s="195">
        <f t="shared" si="0"/>
        <v>0</v>
      </c>
    </row>
    <row r="49" spans="1:24" x14ac:dyDescent="0.35">
      <c r="L49" s="190" t="s">
        <v>425</v>
      </c>
      <c r="M49" s="194">
        <f>SUMIF('Tanques Carga'!Q35:Q44,"FW",'Tanques Carga'!Q7:Q16)*2</f>
        <v>0</v>
      </c>
      <c r="N49" s="195">
        <f t="shared" si="0"/>
        <v>0</v>
      </c>
    </row>
    <row r="50" spans="1:24" x14ac:dyDescent="0.35">
      <c r="L50" s="190" t="s">
        <v>426</v>
      </c>
      <c r="M50" s="194">
        <f>SUMIF('Tanques Carga'!R35:R44,"FW",'Tanques Carga'!R7:R16)*2</f>
        <v>0</v>
      </c>
      <c r="N50" s="195">
        <f t="shared" si="0"/>
        <v>0</v>
      </c>
    </row>
    <row r="51" spans="1:24" x14ac:dyDescent="0.35">
      <c r="L51" s="190" t="s">
        <v>427</v>
      </c>
      <c r="M51" s="194">
        <f>SUMIF('Tanques Carga'!S35:S44,"FW",'Tanques Carga'!S7:S16)*2</f>
        <v>0</v>
      </c>
      <c r="N51" s="195">
        <f t="shared" si="0"/>
        <v>0</v>
      </c>
    </row>
    <row r="52" spans="1:24" x14ac:dyDescent="0.35">
      <c r="L52" s="190" t="s">
        <v>428</v>
      </c>
      <c r="M52" s="194">
        <f>SUMIF('Tanques Carga'!T35:T44,"FW",'Tanques Carga'!T7:T16)*2</f>
        <v>0</v>
      </c>
      <c r="N52" s="195">
        <f t="shared" si="0"/>
        <v>0</v>
      </c>
    </row>
    <row r="53" spans="1:24" ht="15" thickBot="1" x14ac:dyDescent="0.4">
      <c r="L53" s="190" t="s">
        <v>429</v>
      </c>
      <c r="M53" s="194">
        <f>SUMIF('Tanques Carga'!U35:U44,"FW",'Tanques Carga'!U7:U16)*2</f>
        <v>0</v>
      </c>
      <c r="N53" s="195">
        <f t="shared" si="0"/>
        <v>0</v>
      </c>
    </row>
    <row r="54" spans="1:24" ht="15" thickBot="1" x14ac:dyDescent="0.4">
      <c r="L54" s="191" t="s">
        <v>430</v>
      </c>
      <c r="M54" s="196">
        <f>SUMIF('Tanques Carga'!V35:V44,"FW",'Tanques Carga'!V7:V16)*2</f>
        <v>0</v>
      </c>
      <c r="N54" s="195">
        <f t="shared" si="0"/>
        <v>0</v>
      </c>
      <c r="O54" s="175" t="s">
        <v>431</v>
      </c>
      <c r="P54" s="107">
        <f>SUM(N35:N54)</f>
        <v>709.81239159413258</v>
      </c>
    </row>
    <row r="55" spans="1:24" x14ac:dyDescent="0.35">
      <c r="M55" s="3"/>
      <c r="N55" s="3"/>
    </row>
    <row r="57" spans="1:24" x14ac:dyDescent="0.35">
      <c r="A57" s="377" t="s">
        <v>404</v>
      </c>
      <c r="B57" s="377"/>
      <c r="C57" s="377"/>
      <c r="D57" s="377"/>
      <c r="E57" s="377"/>
      <c r="F57" s="377"/>
      <c r="G57" s="377"/>
      <c r="H57" s="377"/>
      <c r="I57" s="377"/>
      <c r="J57" s="377"/>
      <c r="K57" s="377"/>
      <c r="L57" s="377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</row>
    <row r="58" spans="1:24" x14ac:dyDescent="0.35">
      <c r="A58" s="377"/>
      <c r="B58" s="377"/>
      <c r="C58" s="377"/>
      <c r="D58" s="377"/>
      <c r="E58" s="377"/>
      <c r="F58" s="377"/>
      <c r="G58" s="377"/>
      <c r="H58" s="377"/>
      <c r="I58" s="377"/>
      <c r="J58" s="377"/>
      <c r="K58" s="377"/>
      <c r="L58" s="377"/>
      <c r="M58" s="377"/>
      <c r="N58" s="377"/>
      <c r="O58" s="377"/>
      <c r="P58" s="377"/>
      <c r="Q58" s="377"/>
      <c r="R58" s="377"/>
      <c r="S58" s="377"/>
      <c r="T58" s="377"/>
      <c r="U58" s="377"/>
      <c r="V58" s="377"/>
      <c r="W58" s="377"/>
      <c r="X58" s="377"/>
    </row>
    <row r="59" spans="1:24" ht="15" thickBot="1" x14ac:dyDescent="0.4">
      <c r="A59" s="375" t="s">
        <v>405</v>
      </c>
      <c r="B59" s="375"/>
    </row>
    <row r="60" spans="1:24" ht="15" thickBot="1" x14ac:dyDescent="0.4">
      <c r="A60" s="149" t="s">
        <v>406</v>
      </c>
      <c r="B60" s="115">
        <f>LW!G10</f>
        <v>10239.504799999999</v>
      </c>
      <c r="L60" s="151" t="s">
        <v>407</v>
      </c>
      <c r="M60" s="152" t="s">
        <v>479</v>
      </c>
      <c r="N60" s="193" t="s">
        <v>480</v>
      </c>
    </row>
    <row r="61" spans="1:24" x14ac:dyDescent="0.35">
      <c r="A61" s="153" t="s">
        <v>693</v>
      </c>
      <c r="B61" s="154">
        <f>24*B62</f>
        <v>720</v>
      </c>
      <c r="L61" s="155" t="s">
        <v>409</v>
      </c>
      <c r="M61" s="194">
        <f>SUMIF('Tanques Carga'!$C$35:$C$44,"Fuel",'Tanques Carga'!$C$7:$C$16)*2</f>
        <v>0</v>
      </c>
      <c r="N61" s="195">
        <f>M61*$B$64</f>
        <v>0</v>
      </c>
    </row>
    <row r="62" spans="1:24" x14ac:dyDescent="0.35">
      <c r="A62" s="153" t="s">
        <v>694</v>
      </c>
      <c r="B62" s="156">
        <f>H2</f>
        <v>30</v>
      </c>
      <c r="L62" s="155" t="s">
        <v>410</v>
      </c>
      <c r="M62" s="194">
        <f>SUMIF('Tanques Carga'!$D$35:$D$44,"Fuel",'Tanques Carga'!$D$7:$D$16)*2</f>
        <v>0</v>
      </c>
      <c r="N62" s="195">
        <f t="shared" ref="N62:N80" si="1">M62*$B$64</f>
        <v>0</v>
      </c>
    </row>
    <row r="63" spans="1:24" x14ac:dyDescent="0.35">
      <c r="A63" s="153" t="s">
        <v>411</v>
      </c>
      <c r="B63" s="154">
        <f>0.0002*B60*B61</f>
        <v>1474.4886911999997</v>
      </c>
      <c r="L63" s="155" t="s">
        <v>412</v>
      </c>
      <c r="M63" s="194">
        <f>SUMIF('Tanques Carga'!$E$35:$E$44,"Fuel",'Tanques Carga'!$E$7:$E$16)*2</f>
        <v>0</v>
      </c>
      <c r="N63" s="195">
        <f t="shared" si="1"/>
        <v>0</v>
      </c>
    </row>
    <row r="64" spans="1:24" x14ac:dyDescent="0.35">
      <c r="A64" s="153" t="s">
        <v>413</v>
      </c>
      <c r="B64" s="154">
        <v>0.86</v>
      </c>
      <c r="L64" s="155" t="s">
        <v>414</v>
      </c>
      <c r="M64" s="194">
        <f>SUMIF('Tanques Carga'!$F$35:$F$44,"Fuel",'Tanques Carga'!$F$7:$F$16)*2</f>
        <v>0</v>
      </c>
      <c r="N64" s="195">
        <f t="shared" si="1"/>
        <v>0</v>
      </c>
    </row>
    <row r="65" spans="1:16" x14ac:dyDescent="0.35">
      <c r="A65" s="153" t="s">
        <v>621</v>
      </c>
      <c r="B65" s="154">
        <f>B63/B64</f>
        <v>1714.5217339534881</v>
      </c>
      <c r="L65" s="155" t="s">
        <v>415</v>
      </c>
      <c r="M65" s="194">
        <f>SUMIF('Tanques Carga'!$G$35:$G$44,"Fuel",'Tanques Carga'!$G$7:$G$16)*2</f>
        <v>465.79847220289298</v>
      </c>
      <c r="N65" s="195">
        <f t="shared" si="1"/>
        <v>400.58668609448796</v>
      </c>
    </row>
    <row r="66" spans="1:16" ht="15" thickBot="1" x14ac:dyDescent="0.4">
      <c r="A66" s="157" t="s">
        <v>695</v>
      </c>
      <c r="B66" s="104">
        <f>B64*'Tanques Carga'!AB39</f>
        <v>1559.4606342653622</v>
      </c>
      <c r="C66" s="158">
        <f>ABS(B66-B65)/B65</f>
        <v>9.0439856560215817E-2</v>
      </c>
      <c r="L66" s="155" t="s">
        <v>416</v>
      </c>
      <c r="M66" s="194">
        <f>SUMIF('Tanques Carga'!$H$35:$H$44,"Fuel",'Tanques Carga'!$H$7:$H$16)*2</f>
        <v>509.62484687295478</v>
      </c>
      <c r="N66" s="195">
        <f t="shared" si="1"/>
        <v>438.27736831074111</v>
      </c>
    </row>
    <row r="67" spans="1:16" x14ac:dyDescent="0.35">
      <c r="L67" s="155" t="s">
        <v>417</v>
      </c>
      <c r="M67" s="194">
        <f>SUMIF('Tanques Carga'!$I$35:$I$44,"Fuel",'Tanques Carga'!$I$7:$I$16)*2</f>
        <v>532.13012176018401</v>
      </c>
      <c r="N67" s="195">
        <f t="shared" si="1"/>
        <v>457.63190471375822</v>
      </c>
    </row>
    <row r="68" spans="1:16" x14ac:dyDescent="0.35">
      <c r="L68" s="155" t="s">
        <v>418</v>
      </c>
      <c r="M68" s="194">
        <f>SUMIF('Tanques Carga'!$J$35:$J$44,"Fuel",'Tanques Carga'!$J$7:$J$16)*2</f>
        <v>305.77287807718062</v>
      </c>
      <c r="N68" s="195">
        <f t="shared" si="1"/>
        <v>262.96467514637533</v>
      </c>
    </row>
    <row r="69" spans="1:16" x14ac:dyDescent="0.35">
      <c r="L69" s="155" t="s">
        <v>419</v>
      </c>
      <c r="M69" s="194">
        <f>SUMIF('Tanques Carga'!$K$35:$K$44,"Fuel",'Tanques Carga'!$K$7:$K$16)*2</f>
        <v>0</v>
      </c>
      <c r="N69" s="195">
        <f t="shared" si="1"/>
        <v>0</v>
      </c>
    </row>
    <row r="70" spans="1:16" x14ac:dyDescent="0.35">
      <c r="L70" s="155" t="s">
        <v>420</v>
      </c>
      <c r="M70" s="194">
        <f>SUMIF('Tanques Carga'!$L$35:$L$44,"Fuel",'Tanques Carga'!$L$7:$L$16)*2</f>
        <v>0</v>
      </c>
      <c r="N70" s="195">
        <f t="shared" si="1"/>
        <v>0</v>
      </c>
    </row>
    <row r="71" spans="1:16" x14ac:dyDescent="0.35">
      <c r="L71" s="155" t="s">
        <v>421</v>
      </c>
      <c r="M71" s="194">
        <f>SUMIF('Tanques Carga'!$M$35:$M$44,"Fuel",'Tanques Carga'!$M$7:$M$16)*2</f>
        <v>0</v>
      </c>
      <c r="N71" s="195">
        <f t="shared" si="1"/>
        <v>0</v>
      </c>
    </row>
    <row r="72" spans="1:16" x14ac:dyDescent="0.35">
      <c r="L72" s="155" t="s">
        <v>422</v>
      </c>
      <c r="M72" s="194">
        <f>SUMIF('Tanques Carga'!$N$35:$N$44,"Fuel",'Tanques Carga'!$N$7:$N$16)*2</f>
        <v>0</v>
      </c>
      <c r="N72" s="195">
        <f t="shared" si="1"/>
        <v>0</v>
      </c>
    </row>
    <row r="73" spans="1:16" x14ac:dyDescent="0.35">
      <c r="L73" s="155" t="s">
        <v>423</v>
      </c>
      <c r="M73" s="194">
        <f>SUMIF('Tanques Carga'!$O$35:$O$44,"Fuel",'Tanques Carga'!$O$7:$O$16)*2</f>
        <v>0</v>
      </c>
      <c r="N73" s="195">
        <f t="shared" si="1"/>
        <v>0</v>
      </c>
    </row>
    <row r="74" spans="1:16" x14ac:dyDescent="0.35">
      <c r="L74" s="155" t="s">
        <v>424</v>
      </c>
      <c r="M74" s="194">
        <f>SUMIF('Tanques Carga'!$P$35:$P$44,"Fuel",'Tanques Carga'!$P$7:$P$16)*2</f>
        <v>0</v>
      </c>
      <c r="N74" s="195">
        <f t="shared" si="1"/>
        <v>0</v>
      </c>
    </row>
    <row r="75" spans="1:16" x14ac:dyDescent="0.35">
      <c r="L75" s="155" t="s">
        <v>425</v>
      </c>
      <c r="M75" s="194">
        <f>SUMIF('Tanques Carga'!$Q$35:$Q$44,"Fuel",'Tanques Carga'!$Q$7:$Q$16)*2</f>
        <v>0</v>
      </c>
      <c r="N75" s="195">
        <f t="shared" si="1"/>
        <v>0</v>
      </c>
    </row>
    <row r="76" spans="1:16" x14ac:dyDescent="0.35">
      <c r="L76" s="155" t="s">
        <v>426</v>
      </c>
      <c r="M76" s="194">
        <f>SUMIF('Tanques Carga'!$R$35:$R$44,"Fuel",'Tanques Carga'!$R$7:$R$16)*2</f>
        <v>0</v>
      </c>
      <c r="N76" s="195">
        <f t="shared" si="1"/>
        <v>0</v>
      </c>
    </row>
    <row r="77" spans="1:16" x14ac:dyDescent="0.35">
      <c r="L77" s="155" t="s">
        <v>427</v>
      </c>
      <c r="M77" s="194">
        <f>SUMIF('Tanques Carga'!$S$35:$S$44,"Fuel",'Tanques Carga'!$S$7:$S$16)*2</f>
        <v>0</v>
      </c>
      <c r="N77" s="195">
        <f t="shared" si="1"/>
        <v>0</v>
      </c>
    </row>
    <row r="78" spans="1:16" x14ac:dyDescent="0.35">
      <c r="L78" s="155" t="s">
        <v>428</v>
      </c>
      <c r="M78" s="194">
        <f>SUMIF('Tanques Carga'!$T$35:$T$44,"Fuel",'Tanques Carga'!$T$7:$T$16)*2</f>
        <v>0</v>
      </c>
      <c r="N78" s="195">
        <f t="shared" si="1"/>
        <v>0</v>
      </c>
    </row>
    <row r="79" spans="1:16" ht="15" thickBot="1" x14ac:dyDescent="0.4">
      <c r="L79" s="155" t="s">
        <v>429</v>
      </c>
      <c r="M79" s="194">
        <f>SUMIF('Tanques Carga'!$U$35:$U$44,"Fuel",'Tanques Carga'!$U$7:$U$16)*2</f>
        <v>0</v>
      </c>
      <c r="N79" s="195">
        <f t="shared" si="1"/>
        <v>0</v>
      </c>
    </row>
    <row r="80" spans="1:16" ht="15" thickBot="1" x14ac:dyDescent="0.4">
      <c r="L80" s="159" t="s">
        <v>430</v>
      </c>
      <c r="M80" s="196">
        <f>SUMIF('Tanques Carga'!$V$35:$V$44,"Fuel",'Tanques Carga'!$V$7:$V$16)*2</f>
        <v>0</v>
      </c>
      <c r="N80" s="195">
        <f t="shared" si="1"/>
        <v>0</v>
      </c>
      <c r="O80" s="160" t="s">
        <v>431</v>
      </c>
      <c r="P80" s="161">
        <f>SUM(N61:N80)</f>
        <v>1559.4606342653626</v>
      </c>
    </row>
    <row r="83" spans="1:24" ht="14.5" customHeight="1" x14ac:dyDescent="0.35">
      <c r="A83" s="377" t="s">
        <v>459</v>
      </c>
      <c r="B83" s="377"/>
      <c r="C83" s="377"/>
      <c r="D83" s="377"/>
      <c r="E83" s="377"/>
      <c r="F83" s="377"/>
      <c r="G83" s="377"/>
      <c r="H83" s="377"/>
      <c r="I83" s="377"/>
      <c r="J83" s="377"/>
      <c r="K83" s="377"/>
      <c r="L83" s="377"/>
      <c r="M83" s="377"/>
      <c r="N83" s="377"/>
      <c r="O83" s="377"/>
      <c r="P83" s="377"/>
      <c r="Q83" s="377"/>
      <c r="R83" s="377"/>
      <c r="S83" s="377"/>
      <c r="T83" s="377"/>
      <c r="U83" s="377"/>
      <c r="V83" s="377"/>
      <c r="W83" s="377"/>
      <c r="X83" s="377"/>
    </row>
    <row r="84" spans="1:24" ht="14.5" customHeight="1" x14ac:dyDescent="0.35">
      <c r="A84" s="377"/>
      <c r="B84" s="377"/>
      <c r="C84" s="377"/>
      <c r="D84" s="377"/>
      <c r="E84" s="377"/>
      <c r="F84" s="377"/>
      <c r="G84" s="377"/>
      <c r="H84" s="377"/>
      <c r="I84" s="377"/>
      <c r="J84" s="377"/>
      <c r="K84" s="377"/>
      <c r="L84" s="377"/>
      <c r="M84" s="377"/>
      <c r="N84" s="377"/>
      <c r="O84" s="377"/>
      <c r="P84" s="377"/>
      <c r="Q84" s="377"/>
      <c r="R84" s="377"/>
      <c r="S84" s="377"/>
      <c r="T84" s="377"/>
      <c r="U84" s="377"/>
      <c r="V84" s="377"/>
      <c r="W84" s="377"/>
      <c r="X84" s="377"/>
    </row>
    <row r="85" spans="1:24" ht="15" thickBot="1" x14ac:dyDescent="0.4">
      <c r="A85" s="375"/>
      <c r="B85" s="375"/>
    </row>
    <row r="86" spans="1:24" x14ac:dyDescent="0.35">
      <c r="A86" s="149" t="s">
        <v>460</v>
      </c>
      <c r="B86" s="150">
        <f>0.15*E2</f>
        <v>6686.1594556004857</v>
      </c>
    </row>
    <row r="87" spans="1:24" x14ac:dyDescent="0.35">
      <c r="A87" s="153" t="s">
        <v>461</v>
      </c>
      <c r="B87" s="154">
        <f>0.4*E2</f>
        <v>17829.758548267964</v>
      </c>
    </row>
    <row r="88" spans="1:24" ht="15" thickBot="1" x14ac:dyDescent="0.4">
      <c r="A88" s="157" t="s">
        <v>456</v>
      </c>
      <c r="B88" s="104">
        <v>1.0249999999999999</v>
      </c>
    </row>
    <row r="91" spans="1:24" ht="14.5" customHeight="1" x14ac:dyDescent="0.35">
      <c r="A91" s="378" t="s">
        <v>462</v>
      </c>
      <c r="B91" s="378"/>
      <c r="C91" s="378"/>
      <c r="D91" s="378"/>
      <c r="E91" s="378"/>
      <c r="F91" s="378"/>
      <c r="M91" s="378" t="s">
        <v>463</v>
      </c>
      <c r="N91" s="378"/>
      <c r="O91" s="378"/>
      <c r="P91" s="378"/>
      <c r="Q91" s="378"/>
      <c r="R91" s="378"/>
    </row>
    <row r="92" spans="1:24" ht="14.5" customHeight="1" x14ac:dyDescent="0.35">
      <c r="A92" s="378"/>
      <c r="B92" s="378"/>
      <c r="C92" s="378"/>
      <c r="D92" s="378"/>
      <c r="E92" s="378"/>
      <c r="F92" s="378"/>
      <c r="M92" s="378"/>
      <c r="N92" s="378"/>
      <c r="O92" s="378"/>
      <c r="P92" s="378"/>
      <c r="Q92" s="378"/>
      <c r="R92" s="378"/>
    </row>
    <row r="93" spans="1:24" ht="15" thickBot="1" x14ac:dyDescent="0.4"/>
    <row r="94" spans="1:24" ht="15" thickBot="1" x14ac:dyDescent="0.4">
      <c r="A94" s="171" t="s">
        <v>464</v>
      </c>
      <c r="B94" s="176" t="s">
        <v>479</v>
      </c>
      <c r="C94" s="193" t="s">
        <v>480</v>
      </c>
      <c r="M94" s="151" t="s">
        <v>407</v>
      </c>
      <c r="N94" s="152" t="s">
        <v>479</v>
      </c>
      <c r="O94" s="193" t="s">
        <v>480</v>
      </c>
      <c r="R94" s="194">
        <f>SUMIF('Tanques Carga'!G49:G56,"B",'Tanques Carga'!G6:G13)*2+SUMIF('Tanques Carga'!G57:G58,"B",'Tanques Carga'!G14:G15)</f>
        <v>0</v>
      </c>
    </row>
    <row r="95" spans="1:24" x14ac:dyDescent="0.35">
      <c r="A95" s="155" t="s">
        <v>409</v>
      </c>
      <c r="B95" s="194">
        <f ca="1">SUMIF('Tanques Carga'!$C$35:$C$44,"B",'Tanques Carga'!$C$7:$C$14)*2</f>
        <v>0</v>
      </c>
      <c r="C95" s="195">
        <f ca="1">B95*$B$88</f>
        <v>0</v>
      </c>
      <c r="M95" s="155" t="s">
        <v>409</v>
      </c>
      <c r="N95" s="194">
        <f>SUMIF('Tanques Carga'!C50:C57,"B",'Tanques Carga'!C7:C14)*2+SUMIF('Tanques Carga'!C58:C59,"B",'Tanques Carga'!C15:C16)</f>
        <v>0</v>
      </c>
      <c r="O95" s="195">
        <f>N95*$B$88</f>
        <v>0</v>
      </c>
    </row>
    <row r="96" spans="1:24" x14ac:dyDescent="0.35">
      <c r="A96" s="155" t="s">
        <v>410</v>
      </c>
      <c r="B96" s="194">
        <f ca="1">SUMIF('Tanques Carga'!$D$35:$D$44,"B",'Tanques Carga'!$D$7:$D$14)*2</f>
        <v>0</v>
      </c>
      <c r="C96" s="195">
        <f t="shared" ref="C96:C114" ca="1" si="2">B96*$B$88</f>
        <v>0</v>
      </c>
      <c r="M96" s="155" t="s">
        <v>410</v>
      </c>
      <c r="N96" s="194">
        <f>SUMIF('Tanques Carga'!D50:D57,"B",'Tanques Carga'!D7:D14)*2+SUMIF('Tanques Carga'!D58:D59,"B",'Tanques Carga'!D15:D16)</f>
        <v>0</v>
      </c>
      <c r="O96" s="195">
        <f t="shared" ref="O96:O114" si="3">N96*$B$88</f>
        <v>0</v>
      </c>
    </row>
    <row r="97" spans="1:20" x14ac:dyDescent="0.35">
      <c r="A97" s="155" t="s">
        <v>412</v>
      </c>
      <c r="B97" s="194">
        <f ca="1">SUMIF('Tanques Carga'!$E$35:$E$44,"B",'Tanques Carga'!$E$7:$E$14)*2</f>
        <v>0</v>
      </c>
      <c r="C97" s="195">
        <f t="shared" ca="1" si="2"/>
        <v>0</v>
      </c>
      <c r="M97" s="155" t="s">
        <v>412</v>
      </c>
      <c r="N97" s="194">
        <f>SUMIF('Tanques Carga'!E50:E57,"B",'Tanques Carga'!E7:E14)*2+SUMIF('Tanques Carga'!E58:E59,"B",'Tanques Carga'!E15:E16)</f>
        <v>0</v>
      </c>
      <c r="O97" s="195">
        <f t="shared" si="3"/>
        <v>0</v>
      </c>
      <c r="T97" s="280"/>
    </row>
    <row r="98" spans="1:20" x14ac:dyDescent="0.35">
      <c r="A98" s="155" t="s">
        <v>414</v>
      </c>
      <c r="B98" s="194">
        <f ca="1">SUMIF('Tanques Carga'!$F$35:$F$44,"B",'Tanques Carga'!$F$7:$F$14)*2</f>
        <v>0</v>
      </c>
      <c r="C98" s="195">
        <f t="shared" ca="1" si="2"/>
        <v>0</v>
      </c>
      <c r="M98" s="155" t="s">
        <v>414</v>
      </c>
      <c r="N98" s="194">
        <f>SUMIF('Tanques Carga'!F50:F57,"B",'Tanques Carga'!F7:F14)*2+SUMIF('Tanques Carga'!F58:F59,"B",'Tanques Carga'!F15:F16)</f>
        <v>0</v>
      </c>
      <c r="O98" s="195">
        <f t="shared" si="3"/>
        <v>0</v>
      </c>
    </row>
    <row r="99" spans="1:20" x14ac:dyDescent="0.35">
      <c r="A99" s="155" t="s">
        <v>415</v>
      </c>
      <c r="B99" s="194">
        <f ca="1">SUMIF('Tanques Carga'!$G$35:$G$44,"B",'Tanques Carga'!$G$7:$G$14)*2</f>
        <v>0</v>
      </c>
      <c r="C99" s="195">
        <f t="shared" ca="1" si="2"/>
        <v>0</v>
      </c>
      <c r="M99" s="155" t="s">
        <v>415</v>
      </c>
      <c r="N99" s="194">
        <f>SUMIF('Tanques Carga'!G50:G57,"B",'Tanques Carga'!G7:G14)*2+SUMIF('Tanques Carga'!G58:G59,"B",'Tanques Carga'!G15:G16)</f>
        <v>2159.8634492389424</v>
      </c>
      <c r="O99" s="195">
        <f t="shared" si="3"/>
        <v>2213.8600354699156</v>
      </c>
    </row>
    <row r="100" spans="1:20" x14ac:dyDescent="0.35">
      <c r="A100" s="155" t="s">
        <v>416</v>
      </c>
      <c r="B100" s="194">
        <f ca="1">SUMIF('Tanques Carga'!$H$35:$H$44,"B",'Tanques Carga'!$H$7:$H$14)*2</f>
        <v>0</v>
      </c>
      <c r="C100" s="195">
        <f t="shared" ca="1" si="2"/>
        <v>0</v>
      </c>
      <c r="M100" s="155" t="s">
        <v>416</v>
      </c>
      <c r="N100" s="194">
        <f>SUMIF('Tanques Carga'!H50:H57,"B",'Tanques Carga'!H7:H14)*2+SUMIF('Tanques Carga'!H58:H59,"B",'Tanques Carga'!H15:H16)</f>
        <v>2363.0822024367544</v>
      </c>
      <c r="O100" s="195">
        <f t="shared" si="3"/>
        <v>2422.159257497673</v>
      </c>
    </row>
    <row r="101" spans="1:20" x14ac:dyDescent="0.35">
      <c r="A101" s="155" t="s">
        <v>417</v>
      </c>
      <c r="B101" s="194">
        <f ca="1">SUMIF('Tanques Carga'!$I$35:$I$44,"B",'Tanques Carga'!$I$7:$I$14)*2</f>
        <v>0</v>
      </c>
      <c r="C101" s="195">
        <f t="shared" ca="1" si="2"/>
        <v>0</v>
      </c>
      <c r="M101" s="155" t="s">
        <v>417</v>
      </c>
      <c r="N101" s="194">
        <f>SUMIF('Tanques Carga'!I50:I57,"B",'Tanques Carga'!I7:I14)*2+SUMIF('Tanques Carga'!I58:I59,"B",'Tanques Carga'!I15:I16)</f>
        <v>0</v>
      </c>
      <c r="O101" s="195">
        <f t="shared" si="3"/>
        <v>0</v>
      </c>
    </row>
    <row r="102" spans="1:20" x14ac:dyDescent="0.35">
      <c r="A102" s="155" t="s">
        <v>418</v>
      </c>
      <c r="B102" s="194">
        <f ca="1">SUMIF('Tanques Carga'!$J$35:$J$44,"B",'Tanques Carga'!$J$7:$J$14)*2</f>
        <v>0</v>
      </c>
      <c r="C102" s="195">
        <f t="shared" ca="1" si="2"/>
        <v>0</v>
      </c>
      <c r="M102" s="155" t="s">
        <v>418</v>
      </c>
      <c r="N102" s="194">
        <f>SUMIF('Tanques Carga'!J50:J57,"B",'Tanques Carga'!J7:J14)*2+SUMIF('Tanques Carga'!J58:J59,"B",'Tanques Carga'!J15:J16)</f>
        <v>489.08802272501248</v>
      </c>
      <c r="O102" s="195">
        <f t="shared" si="3"/>
        <v>501.31522329313776</v>
      </c>
    </row>
    <row r="103" spans="1:20" x14ac:dyDescent="0.35">
      <c r="A103" s="155" t="s">
        <v>419</v>
      </c>
      <c r="B103" s="194">
        <f ca="1">SUMIF('Tanques Carga'!$K$35:$K$44,"B",'Tanques Carga'!$K$7:$K$14)*2</f>
        <v>230.0344025021916</v>
      </c>
      <c r="C103" s="195">
        <f t="shared" ca="1" si="2"/>
        <v>235.78526256474638</v>
      </c>
      <c r="M103" s="155" t="s">
        <v>419</v>
      </c>
      <c r="N103" s="194">
        <f>SUMIF('Tanques Carga'!K50:K57,"B",'Tanques Carga'!K7:K14)*2+SUMIF('Tanques Carga'!K58:K59,"B",'Tanques Carga'!K15:K16)</f>
        <v>3310.6712608313283</v>
      </c>
      <c r="O103" s="195">
        <f t="shared" si="3"/>
        <v>3393.4380423521111</v>
      </c>
    </row>
    <row r="104" spans="1:20" x14ac:dyDescent="0.35">
      <c r="A104" s="155" t="s">
        <v>420</v>
      </c>
      <c r="B104" s="194">
        <f ca="1">SUMIF('Tanques Carga'!$L$35:$L$44,"B",'Tanques Carga'!$L$7:$L$14)*2</f>
        <v>153.39469931092648</v>
      </c>
      <c r="C104" s="195">
        <f t="shared" ca="1" si="2"/>
        <v>157.22956679369963</v>
      </c>
      <c r="M104" s="155" t="s">
        <v>420</v>
      </c>
      <c r="N104" s="194">
        <f>SUMIF('Tanques Carga'!L50:L57,"B",'Tanques Carga'!L7:L14)*2+SUMIF('Tanques Carga'!L58:L59,"B",'Tanques Carga'!L15:L16)</f>
        <v>3311.5009127887452</v>
      </c>
      <c r="O104" s="195">
        <f t="shared" si="3"/>
        <v>3394.2884356084637</v>
      </c>
    </row>
    <row r="105" spans="1:20" x14ac:dyDescent="0.35">
      <c r="A105" s="155" t="s">
        <v>421</v>
      </c>
      <c r="B105" s="194">
        <f ca="1">SUMIF('Tanques Carga'!$M$35:$M$44,"B",'Tanques Carga'!$M$7:$M$14)*2</f>
        <v>230.14969543058788</v>
      </c>
      <c r="C105" s="195">
        <f t="shared" ca="1" si="2"/>
        <v>235.90343781635255</v>
      </c>
      <c r="M105" s="155" t="s">
        <v>421</v>
      </c>
      <c r="N105" s="194">
        <f>SUMIF('Tanques Carga'!M50:M57,"B",'Tanques Carga'!M7:M14)*2+SUMIF('Tanques Carga'!M58:M59,"B",'Tanques Carga'!M15:M16)</f>
        <v>797.65955883096581</v>
      </c>
      <c r="O105" s="195">
        <f t="shared" si="3"/>
        <v>817.60104780173992</v>
      </c>
    </row>
    <row r="106" spans="1:20" x14ac:dyDescent="0.35">
      <c r="A106" s="155" t="s">
        <v>422</v>
      </c>
      <c r="B106" s="194">
        <f ca="1">SUMIF('Tanques Carga'!$N$35:$N$44,"B",'Tanques Carga'!$N$7:$N$14)*2</f>
        <v>76.735780631595347</v>
      </c>
      <c r="C106" s="195">
        <f t="shared" ca="1" si="2"/>
        <v>78.654175147385217</v>
      </c>
      <c r="M106" s="155" t="s">
        <v>422</v>
      </c>
      <c r="N106" s="194">
        <f>SUMIF('Tanques Carga'!N50:N57,"B",'Tanques Carga'!N7:N14)*2+SUMIF('Tanques Carga'!N58:N59,"B",'Tanques Carga'!N15:N16)</f>
        <v>797.8593516358809</v>
      </c>
      <c r="O106" s="195">
        <f t="shared" si="3"/>
        <v>817.80583542677789</v>
      </c>
    </row>
    <row r="107" spans="1:20" x14ac:dyDescent="0.35">
      <c r="A107" s="155" t="s">
        <v>423</v>
      </c>
      <c r="B107" s="194">
        <f ca="1">SUMIF('Tanques Carga'!$O$35:$O$44,"B",'Tanques Carga'!$O$7:$O$14)*2</f>
        <v>76.650811116916159</v>
      </c>
      <c r="C107" s="195">
        <f t="shared" ca="1" si="2"/>
        <v>78.56708139483905</v>
      </c>
      <c r="M107" s="155" t="s">
        <v>423</v>
      </c>
      <c r="N107" s="194">
        <f>SUMIF('Tanques Carga'!O50:O57,"B",'Tanques Carga'!O7:O14)*2+SUMIF('Tanques Carga'!O58:O59,"B",'Tanques Carga'!O15:O16)</f>
        <v>3309.4915550525157</v>
      </c>
      <c r="O107" s="195">
        <f t="shared" si="3"/>
        <v>3392.2288439288282</v>
      </c>
    </row>
    <row r="108" spans="1:20" x14ac:dyDescent="0.35">
      <c r="A108" s="155" t="s">
        <v>424</v>
      </c>
      <c r="B108" s="194">
        <f ca="1">SUMIF('Tanques Carga'!$P$35:$P$44,"B",'Tanques Carga'!$P$7:$P$14)*2</f>
        <v>76.141188325625791</v>
      </c>
      <c r="C108" s="195">
        <f t="shared" ca="1" si="2"/>
        <v>78.044718033766429</v>
      </c>
      <c r="M108" s="155" t="s">
        <v>424</v>
      </c>
      <c r="N108" s="194">
        <f>SUMIF('Tanques Carga'!P50:P57,"B",'Tanques Carga'!P7:P14)*2+SUMIF('Tanques Carga'!P58:P59,"B",'Tanques Carga'!P15:P16)</f>
        <v>3186.1168432141603</v>
      </c>
      <c r="O108" s="195">
        <f t="shared" si="3"/>
        <v>3265.7697642945141</v>
      </c>
    </row>
    <row r="109" spans="1:20" x14ac:dyDescent="0.35">
      <c r="A109" s="155" t="s">
        <v>425</v>
      </c>
      <c r="B109" s="194">
        <f ca="1">SUMIF('Tanques Carga'!$Q$35:$Q$44,"B",'Tanques Carga'!$Q$7:$Q$14)*2</f>
        <v>0</v>
      </c>
      <c r="C109" s="195">
        <f t="shared" ca="1" si="2"/>
        <v>0</v>
      </c>
      <c r="M109" s="155" t="s">
        <v>425</v>
      </c>
      <c r="N109" s="194">
        <f>SUMIF('Tanques Carga'!Q50:Q57,"B",'Tanques Carga'!Q7:Q14)*2+SUMIF('Tanques Carga'!Q58:Q59,"B",'Tanques Carga'!Q15:Q16)</f>
        <v>527.33846582976457</v>
      </c>
      <c r="O109" s="195">
        <f t="shared" si="3"/>
        <v>540.52192747550862</v>
      </c>
    </row>
    <row r="110" spans="1:20" x14ac:dyDescent="0.35">
      <c r="A110" s="155" t="s">
        <v>426</v>
      </c>
      <c r="B110" s="194">
        <f ca="1">SUMIF('Tanques Carga'!$R$35:$R$44,"B",'Tanques Carga'!$R$7:$R$14)*2</f>
        <v>0</v>
      </c>
      <c r="C110" s="195">
        <f t="shared" ca="1" si="2"/>
        <v>0</v>
      </c>
      <c r="M110" s="155" t="s">
        <v>426</v>
      </c>
      <c r="N110" s="194">
        <f>SUMIF('Tanques Carga'!R50:R57,"B",'Tanques Carga'!R7:R14)*2+SUMIF('Tanques Carga'!R58:R59,"B",'Tanques Carga'!R15:R16)</f>
        <v>212.2369949972184</v>
      </c>
      <c r="O110" s="195">
        <f t="shared" si="3"/>
        <v>217.54291987214884</v>
      </c>
    </row>
    <row r="111" spans="1:20" x14ac:dyDescent="0.35">
      <c r="A111" s="155" t="s">
        <v>427</v>
      </c>
      <c r="B111" s="194">
        <f ca="1">SUMIF('Tanques Carga'!$S$35:$S$44,"B",'Tanques Carga'!$S$7:$S$14)*2</f>
        <v>0</v>
      </c>
      <c r="C111" s="195">
        <f t="shared" ca="1" si="2"/>
        <v>0</v>
      </c>
      <c r="M111" s="155" t="s">
        <v>427</v>
      </c>
      <c r="N111" s="194">
        <f>SUMIF('Tanques Carga'!S50:S57,"B",'Tanques Carga'!S7:S14)*2+SUMIF('Tanques Carga'!S58:S59,"B",'Tanques Carga'!S15:S16)</f>
        <v>2319.5447008371498</v>
      </c>
      <c r="O111" s="195">
        <f t="shared" si="3"/>
        <v>2377.5333183580783</v>
      </c>
    </row>
    <row r="112" spans="1:20" x14ac:dyDescent="0.35">
      <c r="A112" s="155" t="s">
        <v>428</v>
      </c>
      <c r="B112" s="194">
        <f ca="1">SUMIF('Tanques Carga'!$T$35:$T$44,"B",'Tanques Carga'!$T$7:$T$14)*2</f>
        <v>50.799485615440013</v>
      </c>
      <c r="C112" s="195">
        <f t="shared" ca="1" si="2"/>
        <v>52.069472755826006</v>
      </c>
      <c r="M112" s="155" t="s">
        <v>428</v>
      </c>
      <c r="N112" s="194">
        <f>SUMIF('Tanques Carga'!T50:T57,"B",'Tanques Carga'!T7:T14)*2+SUMIF('Tanques Carga'!T58:T59,"B",'Tanques Carga'!T15:T16)</f>
        <v>1892.3274289222795</v>
      </c>
      <c r="O112" s="195">
        <f t="shared" si="3"/>
        <v>1939.6356146453363</v>
      </c>
    </row>
    <row r="113" spans="1:24" ht="15" thickBot="1" x14ac:dyDescent="0.4">
      <c r="A113" s="155" t="s">
        <v>429</v>
      </c>
      <c r="B113" s="194">
        <f ca="1">SUMIF('Tanques Carga'!$U$35:$U$44,"B",'Tanques Carga'!$U$7:$U$14)*2</f>
        <v>66.944613481791421</v>
      </c>
      <c r="C113" s="195">
        <f t="shared" ca="1" si="2"/>
        <v>68.618228818836201</v>
      </c>
      <c r="M113" s="155" t="s">
        <v>429</v>
      </c>
      <c r="N113" s="194">
        <f>SUMIF('Tanques Carga'!U50:U57,"B",'Tanques Carga'!U7:U14)*2+SUMIF('Tanques Carga'!U58:U59,"B",'Tanques Carga'!U15:U16)</f>
        <v>1246.8741245648621</v>
      </c>
      <c r="O113" s="195">
        <f t="shared" si="3"/>
        <v>1278.0459776789835</v>
      </c>
    </row>
    <row r="114" spans="1:24" ht="15" thickBot="1" x14ac:dyDescent="0.4">
      <c r="A114" s="159" t="s">
        <v>430</v>
      </c>
      <c r="B114" s="196">
        <f ca="1">SUMIF('Tanques Carga'!$V$35:$V$44,"B",'Tanques Carga'!$V$7:$V$14)*2</f>
        <v>85.02942703329947</v>
      </c>
      <c r="C114" s="195">
        <f t="shared" ca="1" si="2"/>
        <v>87.155162709131943</v>
      </c>
      <c r="D114" s="175" t="s">
        <v>431</v>
      </c>
      <c r="E114" s="107">
        <f ca="1">SUM(C95:C114)</f>
        <v>1072.0271060345835</v>
      </c>
      <c r="M114" s="159" t="s">
        <v>430</v>
      </c>
      <c r="N114" s="194">
        <f>SUMIF('Tanques Carga'!V50:V57,"B",'Tanques Carga'!V7:V14)*2+SUMIF('Tanques Carga'!V58:V59,"B",'Tanques Carga'!V15:V16)</f>
        <v>53.793047857998801</v>
      </c>
      <c r="O114" s="195">
        <f t="shared" si="3"/>
        <v>55.137874054448766</v>
      </c>
      <c r="P114" s="160" t="s">
        <v>431</v>
      </c>
      <c r="Q114" s="107">
        <f>SUM(O95:O114)</f>
        <v>26626.884117757665</v>
      </c>
    </row>
    <row r="117" spans="1:24" ht="14.5" customHeight="1" x14ac:dyDescent="0.35">
      <c r="A117" s="377" t="s">
        <v>465</v>
      </c>
      <c r="B117" s="377"/>
      <c r="C117" s="377"/>
      <c r="D117" s="377"/>
      <c r="E117" s="377"/>
      <c r="F117" s="377"/>
      <c r="G117" s="377"/>
      <c r="H117" s="377"/>
      <c r="I117" s="377"/>
      <c r="J117" s="377"/>
      <c r="K117" s="377"/>
      <c r="L117" s="377"/>
      <c r="M117" s="377"/>
      <c r="N117" s="377"/>
      <c r="O117" s="377"/>
      <c r="P117" s="377"/>
      <c r="Q117" s="377"/>
      <c r="R117" s="377"/>
      <c r="S117" s="377"/>
      <c r="T117" s="377"/>
      <c r="U117" s="377"/>
      <c r="V117" s="377"/>
      <c r="W117" s="377"/>
      <c r="X117" s="377"/>
    </row>
    <row r="118" spans="1:24" ht="14.5" customHeight="1" x14ac:dyDescent="0.35">
      <c r="A118" s="377"/>
      <c r="B118" s="377"/>
      <c r="C118" s="377"/>
      <c r="D118" s="377"/>
      <c r="E118" s="377"/>
      <c r="F118" s="377"/>
      <c r="G118" s="377"/>
      <c r="H118" s="377"/>
      <c r="I118" s="377"/>
      <c r="J118" s="377"/>
      <c r="K118" s="377"/>
      <c r="L118" s="377"/>
      <c r="M118" s="377"/>
      <c r="N118" s="377"/>
      <c r="O118" s="377"/>
      <c r="P118" s="377"/>
      <c r="Q118" s="377"/>
      <c r="R118" s="377"/>
      <c r="S118" s="377"/>
      <c r="T118" s="377"/>
      <c r="U118" s="377"/>
      <c r="V118" s="377"/>
      <c r="W118" s="377"/>
      <c r="X118" s="377"/>
    </row>
    <row r="119" spans="1:24" ht="15" thickBot="1" x14ac:dyDescent="0.4">
      <c r="A119" s="375"/>
      <c r="B119" s="375"/>
    </row>
    <row r="120" spans="1:24" x14ac:dyDescent="0.35">
      <c r="A120" s="149" t="s">
        <v>456</v>
      </c>
      <c r="B120" s="150">
        <v>0.86</v>
      </c>
    </row>
    <row r="121" spans="1:24" ht="15" thickBot="1" x14ac:dyDescent="0.4">
      <c r="A121" s="157" t="s">
        <v>466</v>
      </c>
      <c r="B121" s="179">
        <f>B120*'Tanques Carga'!AB36</f>
        <v>29373.954571129143</v>
      </c>
    </row>
    <row r="122" spans="1:24" x14ac:dyDescent="0.35">
      <c r="A122" s="169"/>
    </row>
    <row r="124" spans="1:24" ht="14.5" customHeight="1" x14ac:dyDescent="0.35">
      <c r="A124" s="378" t="s">
        <v>462</v>
      </c>
      <c r="B124" s="378"/>
      <c r="C124" s="378"/>
      <c r="D124" s="378"/>
      <c r="E124" s="378"/>
      <c r="F124" s="378"/>
      <c r="M124" s="378" t="s">
        <v>463</v>
      </c>
      <c r="N124" s="378"/>
      <c r="O124" s="378"/>
      <c r="P124" s="378"/>
      <c r="Q124" s="378"/>
      <c r="R124" s="378"/>
    </row>
    <row r="125" spans="1:24" ht="14.5" customHeight="1" x14ac:dyDescent="0.35">
      <c r="A125" s="378"/>
      <c r="B125" s="378"/>
      <c r="C125" s="378"/>
      <c r="D125" s="378"/>
      <c r="E125" s="378"/>
      <c r="F125" s="378"/>
      <c r="M125" s="378"/>
      <c r="N125" s="378"/>
      <c r="O125" s="378"/>
      <c r="P125" s="378"/>
      <c r="Q125" s="378"/>
      <c r="R125" s="378"/>
    </row>
    <row r="126" spans="1:24" ht="15" thickBot="1" x14ac:dyDescent="0.4"/>
    <row r="127" spans="1:24" ht="15" thickBot="1" x14ac:dyDescent="0.4">
      <c r="A127" s="171" t="s">
        <v>464</v>
      </c>
      <c r="B127" s="172" t="s">
        <v>479</v>
      </c>
      <c r="C127" s="193" t="s">
        <v>480</v>
      </c>
      <c r="M127" s="151" t="s">
        <v>407</v>
      </c>
      <c r="N127" s="152" t="s">
        <v>479</v>
      </c>
      <c r="O127" s="193" t="s">
        <v>480</v>
      </c>
    </row>
    <row r="128" spans="1:24" x14ac:dyDescent="0.35">
      <c r="A128" s="155" t="s">
        <v>409</v>
      </c>
      <c r="B128" s="194">
        <f>SUMIF('Tanques Carga'!$C$35:$C$44,"Cargo",'Tanques Carga'!$C$7:$C$16)</f>
        <v>0</v>
      </c>
      <c r="C128" s="195">
        <f>B128*$B$120</f>
        <v>0</v>
      </c>
      <c r="M128" s="155" t="s">
        <v>409</v>
      </c>
      <c r="N128" s="194">
        <f>SUMIF('Tanques Carga'!C50:C59,"Cargo",'Tanques Carga'!C7:C16)</f>
        <v>0</v>
      </c>
      <c r="O128" s="195">
        <f>N128*$B$120</f>
        <v>0</v>
      </c>
    </row>
    <row r="129" spans="1:15" x14ac:dyDescent="0.35">
      <c r="A129" s="155" t="s">
        <v>410</v>
      </c>
      <c r="B129" s="194">
        <f>SUMIF('Tanques Carga'!$D$35:$D$44,"Cargo",'Tanques Carga'!$D$7:$D$16)</f>
        <v>0</v>
      </c>
      <c r="C129" s="195">
        <f t="shared" ref="C129:C147" si="4">B129*$B$120</f>
        <v>0</v>
      </c>
      <c r="M129" s="155" t="s">
        <v>410</v>
      </c>
      <c r="N129" s="194">
        <f>SUMIF('Tanques Carga'!D50:D59,"Cargo",'Tanques Carga'!D7:D16)</f>
        <v>0</v>
      </c>
      <c r="O129" s="195">
        <f t="shared" ref="O129:O147" si="5">N129*$B$120</f>
        <v>0</v>
      </c>
    </row>
    <row r="130" spans="1:15" x14ac:dyDescent="0.35">
      <c r="A130" s="155" t="s">
        <v>412</v>
      </c>
      <c r="B130" s="194">
        <f>SUMIF('Tanques Carga'!$E$35:$E$44,"Cargo",'Tanques Carga'!$E$7:$E$16)</f>
        <v>0</v>
      </c>
      <c r="C130" s="195">
        <f t="shared" si="4"/>
        <v>0</v>
      </c>
      <c r="M130" s="155" t="s">
        <v>412</v>
      </c>
      <c r="N130" s="194">
        <f>SUMIF('Tanques Carga'!E50:E59,"Cargo",'Tanques Carga'!E7:E16)</f>
        <v>0</v>
      </c>
      <c r="O130" s="195">
        <f t="shared" si="5"/>
        <v>0</v>
      </c>
    </row>
    <row r="131" spans="1:15" x14ac:dyDescent="0.35">
      <c r="A131" s="155" t="s">
        <v>414</v>
      </c>
      <c r="B131" s="194">
        <f>SUMIF('Tanques Carga'!$F$35:$F$44,"Cargo",'Tanques Carga'!$F$7:$F$16)</f>
        <v>0</v>
      </c>
      <c r="C131" s="195">
        <f t="shared" si="4"/>
        <v>0</v>
      </c>
      <c r="M131" s="155" t="s">
        <v>414</v>
      </c>
      <c r="N131" s="194">
        <f>SUMIF('Tanques Carga'!F50:F59,"Cargo",'Tanques Carga'!F7:F16)</f>
        <v>0</v>
      </c>
      <c r="O131" s="195">
        <f t="shared" si="5"/>
        <v>0</v>
      </c>
    </row>
    <row r="132" spans="1:15" x14ac:dyDescent="0.35">
      <c r="A132" s="155" t="s">
        <v>415</v>
      </c>
      <c r="B132" s="194">
        <f>SUMIF('Tanques Carga'!$G$35:$G$44,"Cargo",'Tanques Carga'!$G$7:$G$16)</f>
        <v>2159.8634492389424</v>
      </c>
      <c r="C132" s="195">
        <f t="shared" si="4"/>
        <v>1857.4825663454903</v>
      </c>
      <c r="M132" s="155" t="s">
        <v>415</v>
      </c>
      <c r="N132" s="194">
        <f>SUMIF('Tanques Carga'!G50:G59,"Cargo",'Tanques Carga'!G7:G16)</f>
        <v>0</v>
      </c>
      <c r="O132" s="195">
        <f t="shared" si="5"/>
        <v>0</v>
      </c>
    </row>
    <row r="133" spans="1:15" x14ac:dyDescent="0.35">
      <c r="A133" s="155" t="s">
        <v>416</v>
      </c>
      <c r="B133" s="194">
        <f>SUMIF('Tanques Carga'!$H$35:$H$44,"Cargo",'Tanques Carga'!$H$7:$H$16)</f>
        <v>2363.0822024367544</v>
      </c>
      <c r="C133" s="195">
        <f t="shared" si="4"/>
        <v>2032.2506940956089</v>
      </c>
      <c r="M133" s="155" t="s">
        <v>416</v>
      </c>
      <c r="N133" s="194">
        <f>SUMIF('Tanques Carga'!H50:H59,"Cargo",'Tanques Carga'!H7:H16)</f>
        <v>0</v>
      </c>
      <c r="O133" s="195">
        <f t="shared" si="5"/>
        <v>0</v>
      </c>
    </row>
    <row r="134" spans="1:15" x14ac:dyDescent="0.35">
      <c r="A134" s="155" t="s">
        <v>417</v>
      </c>
      <c r="B134" s="194">
        <f>SUMIF('Tanques Carga'!$I$35:$I$44,"Cargo",'Tanques Carga'!$I$7:$I$16)</f>
        <v>2467.4370330013953</v>
      </c>
      <c r="C134" s="195">
        <f t="shared" si="4"/>
        <v>2121.9958483811997</v>
      </c>
      <c r="M134" s="155" t="s">
        <v>417</v>
      </c>
      <c r="N134" s="194">
        <f>SUMIF('Tanques Carga'!I50:I59,"Cargo",'Tanques Carga'!I7:I16)</f>
        <v>0</v>
      </c>
      <c r="O134" s="195">
        <f t="shared" si="5"/>
        <v>0</v>
      </c>
    </row>
    <row r="135" spans="1:15" x14ac:dyDescent="0.35">
      <c r="A135" s="155" t="s">
        <v>418</v>
      </c>
      <c r="B135" s="194">
        <f>SUMIF('Tanques Carga'!$J$35:$J$44,"Cargo",'Tanques Carga'!$J$7:$J$16)</f>
        <v>2505.8480636931549</v>
      </c>
      <c r="C135" s="195">
        <f t="shared" si="4"/>
        <v>2155.029334776113</v>
      </c>
      <c r="M135" s="155" t="s">
        <v>418</v>
      </c>
      <c r="N135" s="194">
        <f>SUMIF('Tanques Carga'!J50:J59,"Cargo",'Tanques Carga'!J7:J16)</f>
        <v>0</v>
      </c>
      <c r="O135" s="195">
        <f t="shared" si="5"/>
        <v>0</v>
      </c>
    </row>
    <row r="136" spans="1:15" x14ac:dyDescent="0.35">
      <c r="A136" s="155" t="s">
        <v>419</v>
      </c>
      <c r="B136" s="194">
        <f>SUMIF('Tanques Carga'!$K$35:$K$44,"Cargo",'Tanques Carga'!$K$7:$K$16)</f>
        <v>2513.4112876101931</v>
      </c>
      <c r="C136" s="195">
        <f t="shared" si="4"/>
        <v>2161.5337073447658</v>
      </c>
      <c r="M136" s="155" t="s">
        <v>419</v>
      </c>
      <c r="N136" s="194">
        <f>SUMIF('Tanques Carga'!K51:K59,"Cargo",'Tanques Carga'!K7:K16)</f>
        <v>0</v>
      </c>
      <c r="O136" s="195">
        <f t="shared" si="5"/>
        <v>0</v>
      </c>
    </row>
    <row r="137" spans="1:15" x14ac:dyDescent="0.35">
      <c r="A137" s="155" t="s">
        <v>420</v>
      </c>
      <c r="B137" s="194">
        <f>SUMIF('Tanques Carga'!$L$35:$L$44,"Cargo",'Tanques Carga'!$L$7:$L$16)</f>
        <v>2514.041146762695</v>
      </c>
      <c r="C137" s="195">
        <f t="shared" si="4"/>
        <v>2162.0753862159177</v>
      </c>
      <c r="M137" s="155" t="s">
        <v>420</v>
      </c>
      <c r="N137" s="194">
        <f>SUMIF('Tanques Carga'!L50:L59,"Cargo",'Tanques Carga'!L7:L16)</f>
        <v>0</v>
      </c>
      <c r="O137" s="195">
        <f t="shared" si="5"/>
        <v>0</v>
      </c>
    </row>
    <row r="138" spans="1:15" x14ac:dyDescent="0.35">
      <c r="A138" s="155" t="s">
        <v>421</v>
      </c>
      <c r="B138" s="194">
        <f>SUMIF('Tanques Carga'!$M$35:$M$44,"Cargo",'Tanques Carga'!$M$7:$M$16)</f>
        <v>2514.6710059151974</v>
      </c>
      <c r="C138" s="195">
        <f t="shared" si="4"/>
        <v>2162.6170650870699</v>
      </c>
      <c r="M138" s="155" t="s">
        <v>421</v>
      </c>
      <c r="N138" s="194">
        <f>SUMIF('Tanques Carga'!M50:M59,"Cargo",'Tanques Carga'!M7:M16)</f>
        <v>0</v>
      </c>
      <c r="O138" s="195">
        <f t="shared" si="5"/>
        <v>0</v>
      </c>
    </row>
    <row r="139" spans="1:15" x14ac:dyDescent="0.35">
      <c r="A139" s="155" t="s">
        <v>422</v>
      </c>
      <c r="B139" s="194">
        <f>SUMIF('Tanques Carga'!$N$35:$N$44,"Cargo",'Tanques Carga'!$N$7:$N$16)</f>
        <v>2515.3008650677002</v>
      </c>
      <c r="C139" s="195">
        <f t="shared" si="4"/>
        <v>2163.1587439582222</v>
      </c>
      <c r="M139" s="155" t="s">
        <v>422</v>
      </c>
      <c r="N139" s="194">
        <f>SUMIF('Tanques Carga'!N50:N59,"Cargo",'Tanques Carga'!N7:N16)</f>
        <v>0</v>
      </c>
      <c r="O139" s="195">
        <f t="shared" si="5"/>
        <v>0</v>
      </c>
    </row>
    <row r="140" spans="1:15" x14ac:dyDescent="0.35">
      <c r="A140" s="155" t="s">
        <v>423</v>
      </c>
      <c r="B140" s="194">
        <f>SUMIF('Tanques Carga'!$O$35:$O$44,"Cargo",'Tanques Carga'!$O$7:$O$16)</f>
        <v>2512.5156729185119</v>
      </c>
      <c r="C140" s="195">
        <f t="shared" si="4"/>
        <v>2160.76347870992</v>
      </c>
      <c r="M140" s="155" t="s">
        <v>423</v>
      </c>
      <c r="N140" s="194">
        <f>SUMIF('Tanques Carga'!O50:O59,"Cargo",'Tanques Carga'!O7:O16)</f>
        <v>0</v>
      </c>
      <c r="O140" s="195">
        <f t="shared" si="5"/>
        <v>0</v>
      </c>
    </row>
    <row r="141" spans="1:15" x14ac:dyDescent="0.35">
      <c r="A141" s="155" t="s">
        <v>424</v>
      </c>
      <c r="B141" s="194">
        <f>SUMIF('Tanques Carga'!$P$35:$P$44,"Cargo",'Tanques Carga'!$P$7:$P$16)</f>
        <v>2495.8108888237884</v>
      </c>
      <c r="C141" s="195">
        <f t="shared" si="4"/>
        <v>2146.3973643884578</v>
      </c>
      <c r="M141" s="155" t="s">
        <v>424</v>
      </c>
      <c r="N141" s="194">
        <f>SUMIF('Tanques Carga'!P50:P59,"Cargo",'Tanques Carga'!P7:P16)</f>
        <v>0</v>
      </c>
      <c r="O141" s="195">
        <f t="shared" si="5"/>
        <v>0</v>
      </c>
    </row>
    <row r="142" spans="1:15" x14ac:dyDescent="0.35">
      <c r="A142" s="155" t="s">
        <v>425</v>
      </c>
      <c r="B142" s="194">
        <f>SUMIF('Tanques Carga'!$Q$35:$Q$44,"Cargo",'Tanques Carga'!$Q$7:$Q$16)</f>
        <v>2445.2185777615214</v>
      </c>
      <c r="C142" s="195">
        <f t="shared" si="4"/>
        <v>2102.8879768749084</v>
      </c>
      <c r="M142" s="155" t="s">
        <v>425</v>
      </c>
      <c r="N142" s="194">
        <f>SUMIF('Tanques Carga'!Q50:Q59,"Cargo",'Tanques Carga'!Q7:Q16)</f>
        <v>0</v>
      </c>
      <c r="O142" s="195">
        <f t="shared" si="5"/>
        <v>0</v>
      </c>
    </row>
    <row r="143" spans="1:15" x14ac:dyDescent="0.35">
      <c r="A143" s="155" t="s">
        <v>426</v>
      </c>
      <c r="B143" s="194">
        <f>SUMIF('Tanques Carga'!$R$35:$R$44,"Cargo",'Tanques Carga'!$R$7:$R$16)</f>
        <v>2318.9525265439138</v>
      </c>
      <c r="C143" s="195">
        <f t="shared" si="4"/>
        <v>1994.2991728277659</v>
      </c>
      <c r="M143" s="155" t="s">
        <v>426</v>
      </c>
      <c r="N143" s="194">
        <f>SUMIF('Tanques Carga'!R50:R59,"Cargo",'Tanques Carga'!R7:R16)</f>
        <v>0</v>
      </c>
      <c r="O143" s="195">
        <f t="shared" si="5"/>
        <v>0</v>
      </c>
    </row>
    <row r="144" spans="1:15" x14ac:dyDescent="0.35">
      <c r="A144" s="155" t="s">
        <v>427</v>
      </c>
      <c r="B144" s="194">
        <f>SUMIF('Tanques Carga'!$S$35:$S$44,"Cargo",'Tanques Carga'!$S$7:$S$16)</f>
        <v>2067.2867067147035</v>
      </c>
      <c r="C144" s="195">
        <f t="shared" si="4"/>
        <v>1777.8665677746451</v>
      </c>
      <c r="M144" s="155" t="s">
        <v>427</v>
      </c>
      <c r="N144" s="194">
        <f>SUMIF('Tanques Carga'!S50:S59,"Cargo",'Tanques Carga'!S7:S16)</f>
        <v>0</v>
      </c>
      <c r="O144" s="195">
        <f t="shared" si="5"/>
        <v>0</v>
      </c>
    </row>
    <row r="145" spans="1:24" x14ac:dyDescent="0.35">
      <c r="A145" s="155" t="s">
        <v>428</v>
      </c>
      <c r="B145" s="194">
        <f>SUMIF('Tanques Carga'!$T$35:$T$44,"Cargo",'Tanques Carga'!$T$7:$T$16)</f>
        <v>1665.1422460528108</v>
      </c>
      <c r="C145" s="195">
        <f t="shared" si="4"/>
        <v>1432.0223316054173</v>
      </c>
      <c r="M145" s="155" t="s">
        <v>428</v>
      </c>
      <c r="N145" s="194">
        <f>SUMIF('Tanques Carga'!T50:T59,"Cargo",'Tanques Carga'!T7:T16)</f>
        <v>0</v>
      </c>
      <c r="O145" s="195">
        <f t="shared" si="5"/>
        <v>0</v>
      </c>
    </row>
    <row r="146" spans="1:24" ht="15" thickBot="1" x14ac:dyDescent="0.4">
      <c r="A146" s="155" t="s">
        <v>429</v>
      </c>
      <c r="B146" s="194">
        <f>SUMIF('Tanques Carga'!$U$35:$U$44,"Cargo",'Tanques Carga'!$U$7:$U$16)</f>
        <v>1097.1794566786571</v>
      </c>
      <c r="C146" s="195">
        <f t="shared" si="4"/>
        <v>943.57433274364507</v>
      </c>
      <c r="M146" s="155" t="s">
        <v>429</v>
      </c>
      <c r="N146" s="194">
        <f>SUMIF('Tanques Carga'!U50:U59,"Cargo",'Tanques Carga'!U7:U16)</f>
        <v>0</v>
      </c>
      <c r="O146" s="195">
        <f t="shared" si="5"/>
        <v>0</v>
      </c>
    </row>
    <row r="147" spans="1:24" ht="15" thickBot="1" x14ac:dyDescent="0.4">
      <c r="A147" s="159" t="s">
        <v>430</v>
      </c>
      <c r="B147" s="196">
        <f>SUMIF('Tanques Carga'!$V$35:$V$44,"Cargo",'Tanques Carga'!$V$7:$V$16)</f>
        <v>0</v>
      </c>
      <c r="C147" s="195">
        <f t="shared" si="4"/>
        <v>0</v>
      </c>
      <c r="D147" s="160" t="s">
        <v>431</v>
      </c>
      <c r="E147" s="173">
        <f>SUM(C128:C147)</f>
        <v>29373.95457112915</v>
      </c>
      <c r="M147" s="159" t="s">
        <v>430</v>
      </c>
      <c r="N147" s="196">
        <f>SUMIF('Tanques Carga'!V50:V59,"Cargo",'Tanques Carga'!V7:V16)</f>
        <v>0</v>
      </c>
      <c r="O147" s="195">
        <f t="shared" si="5"/>
        <v>0</v>
      </c>
      <c r="P147" s="160" t="s">
        <v>431</v>
      </c>
      <c r="Q147" s="107">
        <f>SUM(O128:O147)</f>
        <v>0</v>
      </c>
    </row>
    <row r="150" spans="1:24" ht="14.5" customHeight="1" x14ac:dyDescent="0.35">
      <c r="A150" s="377" t="s">
        <v>467</v>
      </c>
      <c r="B150" s="377"/>
      <c r="C150" s="377"/>
      <c r="D150" s="377"/>
      <c r="E150" s="377"/>
      <c r="F150" s="377"/>
      <c r="G150" s="377"/>
      <c r="H150" s="377"/>
      <c r="I150" s="377"/>
      <c r="J150" s="377"/>
      <c r="K150" s="377"/>
      <c r="L150" s="377"/>
      <c r="M150" s="377"/>
      <c r="N150" s="377"/>
      <c r="O150" s="377"/>
      <c r="P150" s="377"/>
      <c r="Q150" s="377"/>
      <c r="R150" s="377"/>
      <c r="S150" s="377"/>
      <c r="T150" s="377"/>
      <c r="U150" s="377"/>
      <c r="V150" s="377"/>
      <c r="W150" s="377"/>
      <c r="X150" s="377"/>
    </row>
    <row r="151" spans="1:24" ht="14.5" customHeight="1" x14ac:dyDescent="0.35">
      <c r="A151" s="377"/>
      <c r="B151" s="377"/>
      <c r="C151" s="377"/>
      <c r="D151" s="377"/>
      <c r="E151" s="377"/>
      <c r="F151" s="377"/>
      <c r="G151" s="377"/>
      <c r="H151" s="377"/>
      <c r="I151" s="377"/>
      <c r="J151" s="377"/>
      <c r="K151" s="377"/>
      <c r="L151" s="377"/>
      <c r="M151" s="377"/>
      <c r="N151" s="377"/>
      <c r="O151" s="377"/>
      <c r="P151" s="377"/>
      <c r="Q151" s="377"/>
      <c r="R151" s="377"/>
      <c r="S151" s="377"/>
      <c r="T151" s="377"/>
      <c r="U151" s="377"/>
      <c r="V151" s="377"/>
      <c r="W151" s="377"/>
      <c r="X151" s="377"/>
    </row>
    <row r="154" spans="1:24" ht="14.5" customHeight="1" x14ac:dyDescent="0.35">
      <c r="A154" s="378" t="s">
        <v>462</v>
      </c>
      <c r="B154" s="378"/>
      <c r="C154" s="378"/>
      <c r="D154" s="378"/>
      <c r="E154" s="378"/>
      <c r="F154" s="378"/>
      <c r="M154" s="378" t="s">
        <v>463</v>
      </c>
      <c r="N154" s="378"/>
      <c r="O154" s="378"/>
      <c r="P154" s="378"/>
      <c r="Q154" s="378"/>
      <c r="R154" s="378"/>
    </row>
    <row r="155" spans="1:24" ht="14.5" customHeight="1" x14ac:dyDescent="0.35">
      <c r="A155" s="378"/>
      <c r="B155" s="378"/>
      <c r="C155" s="378"/>
      <c r="D155" s="378"/>
      <c r="E155" s="378"/>
      <c r="F155" s="378"/>
      <c r="M155" s="378"/>
      <c r="N155" s="378"/>
      <c r="O155" s="378"/>
      <c r="P155" s="378"/>
      <c r="Q155" s="378"/>
      <c r="R155" s="378"/>
    </row>
    <row r="175" spans="1:17" ht="15" thickBot="1" x14ac:dyDescent="0.4"/>
    <row r="176" spans="1:17" ht="15" thickBot="1" x14ac:dyDescent="0.4">
      <c r="A176" s="375" t="s">
        <v>468</v>
      </c>
      <c r="B176" s="375"/>
      <c r="D176" s="151" t="s">
        <v>407</v>
      </c>
      <c r="E176" s="152" t="s">
        <v>408</v>
      </c>
      <c r="M176" s="376" t="s">
        <v>468</v>
      </c>
      <c r="N176" s="376"/>
      <c r="P176" s="151" t="s">
        <v>407</v>
      </c>
      <c r="Q176" s="152" t="s">
        <v>408</v>
      </c>
    </row>
    <row r="177" spans="1:17" x14ac:dyDescent="0.35">
      <c r="A177" s="149" t="s">
        <v>469</v>
      </c>
      <c r="B177" s="150">
        <f>M29</f>
        <v>3.2999999999999994</v>
      </c>
      <c r="D177" s="155" t="s">
        <v>409</v>
      </c>
      <c r="E177" s="154">
        <f ca="1">C95+C128+N61+N35+M9</f>
        <v>0.46749999999999986</v>
      </c>
      <c r="M177" s="149" t="s">
        <v>469</v>
      </c>
      <c r="N177" s="150">
        <f>M29</f>
        <v>3.2999999999999994</v>
      </c>
      <c r="P177" s="155" t="s">
        <v>409</v>
      </c>
      <c r="Q177" s="154">
        <f>O128+O95+N61+M9+N35</f>
        <v>0.46749999999999986</v>
      </c>
    </row>
    <row r="178" spans="1:17" x14ac:dyDescent="0.35">
      <c r="A178" s="153" t="s">
        <v>470</v>
      </c>
      <c r="B178" s="154">
        <f>P54</f>
        <v>709.81239159413258</v>
      </c>
      <c r="D178" s="155" t="s">
        <v>410</v>
      </c>
      <c r="E178" s="154">
        <f t="shared" ref="E178:E196" ca="1" si="6">C96+C129+N62+N36+M10</f>
        <v>0.82499999999999984</v>
      </c>
      <c r="M178" s="153" t="s">
        <v>470</v>
      </c>
      <c r="N178" s="154">
        <f>P54</f>
        <v>709.81239159413258</v>
      </c>
      <c r="P178" s="155" t="s">
        <v>410</v>
      </c>
      <c r="Q178" s="154">
        <f t="shared" ref="Q178:Q196" si="7">O129+O96+N62+M10+N36</f>
        <v>0.82499999999999984</v>
      </c>
    </row>
    <row r="179" spans="1:17" x14ac:dyDescent="0.35">
      <c r="A179" s="153" t="s">
        <v>471</v>
      </c>
      <c r="B179" s="154">
        <f>P80</f>
        <v>1559.4606342653626</v>
      </c>
      <c r="D179" s="155" t="s">
        <v>412</v>
      </c>
      <c r="E179" s="154">
        <f t="shared" ca="1" si="6"/>
        <v>1.0174999999999998</v>
      </c>
      <c r="M179" s="153" t="s">
        <v>471</v>
      </c>
      <c r="N179" s="154">
        <f>P80</f>
        <v>1559.4606342653626</v>
      </c>
      <c r="P179" s="155" t="s">
        <v>412</v>
      </c>
      <c r="Q179" s="154">
        <f t="shared" si="7"/>
        <v>1.0174999999999998</v>
      </c>
    </row>
    <row r="180" spans="1:17" x14ac:dyDescent="0.35">
      <c r="A180" s="153" t="s">
        <v>472</v>
      </c>
      <c r="B180" s="154">
        <f ca="1">E114</f>
        <v>1072.0271060345835</v>
      </c>
      <c r="D180" s="155" t="s">
        <v>414</v>
      </c>
      <c r="E180" s="154">
        <f t="shared" ca="1" si="6"/>
        <v>0.98999999999999977</v>
      </c>
      <c r="M180" s="153" t="s">
        <v>472</v>
      </c>
      <c r="N180" s="154">
        <f>Q114</f>
        <v>26626.884117757665</v>
      </c>
      <c r="P180" s="155" t="s">
        <v>414</v>
      </c>
      <c r="Q180" s="154">
        <f t="shared" si="7"/>
        <v>0.98999999999999977</v>
      </c>
    </row>
    <row r="181" spans="1:17" x14ac:dyDescent="0.35">
      <c r="A181" s="153" t="s">
        <v>473</v>
      </c>
      <c r="B181" s="60">
        <f>E147</f>
        <v>29373.95457112915</v>
      </c>
      <c r="D181" s="155" t="s">
        <v>415</v>
      </c>
      <c r="E181" s="154">
        <f t="shared" ca="1" si="6"/>
        <v>2477.384547406818</v>
      </c>
      <c r="M181" s="153" t="s">
        <v>473</v>
      </c>
      <c r="N181" s="60">
        <f>Q147</f>
        <v>0</v>
      </c>
      <c r="P181" s="155" t="s">
        <v>415</v>
      </c>
      <c r="Q181" s="154">
        <f t="shared" si="7"/>
        <v>2833.7620165312433</v>
      </c>
    </row>
    <row r="182" spans="1:17" ht="15" thickBot="1" x14ac:dyDescent="0.4">
      <c r="A182" s="166" t="s">
        <v>431</v>
      </c>
      <c r="B182" s="167">
        <f ca="1">B177+B178+B179+B180+B181</f>
        <v>32718.55470302323</v>
      </c>
      <c r="D182" s="155" t="s">
        <v>416</v>
      </c>
      <c r="E182" s="154">
        <f t="shared" ca="1" si="6"/>
        <v>2710.4784492888734</v>
      </c>
      <c r="M182" s="166" t="s">
        <v>431</v>
      </c>
      <c r="N182" s="167">
        <f>N177+N178+N179+N180+N181</f>
        <v>28899.457143617161</v>
      </c>
      <c r="P182" s="155" t="s">
        <v>416</v>
      </c>
      <c r="Q182" s="154">
        <f t="shared" si="7"/>
        <v>3100.3870126909378</v>
      </c>
    </row>
    <row r="183" spans="1:17" x14ac:dyDescent="0.35">
      <c r="D183" s="155" t="s">
        <v>417</v>
      </c>
      <c r="E183" s="154">
        <f t="shared" ca="1" si="6"/>
        <v>2830.1744628397269</v>
      </c>
      <c r="P183" s="155" t="s">
        <v>417</v>
      </c>
      <c r="Q183" s="154">
        <f t="shared" si="7"/>
        <v>708.17861445852736</v>
      </c>
    </row>
    <row r="184" spans="1:17" x14ac:dyDescent="0.35">
      <c r="D184" s="155" t="s">
        <v>418</v>
      </c>
      <c r="E184" s="154">
        <f t="shared" ca="1" si="6"/>
        <v>2417.9940099224882</v>
      </c>
      <c r="P184" s="155" t="s">
        <v>418</v>
      </c>
      <c r="Q184" s="154">
        <f t="shared" si="7"/>
        <v>764.27989843951309</v>
      </c>
    </row>
    <row r="185" spans="1:17" x14ac:dyDescent="0.35">
      <c r="D185" s="155" t="s">
        <v>419</v>
      </c>
      <c r="E185" s="154">
        <f t="shared" ca="1" si="6"/>
        <v>2397.3189699095124</v>
      </c>
      <c r="P185" s="155" t="s">
        <v>419</v>
      </c>
      <c r="Q185" s="154">
        <f t="shared" si="7"/>
        <v>3393.4380423521111</v>
      </c>
    </row>
    <row r="186" spans="1:17" x14ac:dyDescent="0.35">
      <c r="D186" s="155" t="s">
        <v>420</v>
      </c>
      <c r="E186" s="154">
        <f t="shared" ca="1" si="6"/>
        <v>2319.3049530096173</v>
      </c>
      <c r="P186" s="155" t="s">
        <v>420</v>
      </c>
      <c r="Q186" s="154">
        <f t="shared" si="7"/>
        <v>3394.2884356084637</v>
      </c>
    </row>
    <row r="187" spans="1:17" x14ac:dyDescent="0.35">
      <c r="D187" s="155" t="s">
        <v>421</v>
      </c>
      <c r="E187" s="154">
        <f t="shared" ca="1" si="6"/>
        <v>2398.5205029034223</v>
      </c>
      <c r="P187" s="155" t="s">
        <v>421</v>
      </c>
      <c r="Q187" s="154">
        <f t="shared" si="7"/>
        <v>817.60104780173992</v>
      </c>
    </row>
    <row r="188" spans="1:17" x14ac:dyDescent="0.35">
      <c r="D188" s="155" t="s">
        <v>422</v>
      </c>
      <c r="E188" s="154">
        <f t="shared" ca="1" si="6"/>
        <v>2241.8129191056073</v>
      </c>
      <c r="P188" s="155" t="s">
        <v>422</v>
      </c>
      <c r="Q188" s="154">
        <f t="shared" si="7"/>
        <v>817.80583542677789</v>
      </c>
    </row>
    <row r="189" spans="1:17" x14ac:dyDescent="0.35">
      <c r="D189" s="155" t="s">
        <v>423</v>
      </c>
      <c r="E189" s="154">
        <f t="shared" ca="1" si="6"/>
        <v>2239.3305601047591</v>
      </c>
      <c r="P189" s="155" t="s">
        <v>423</v>
      </c>
      <c r="Q189" s="154">
        <f t="shared" si="7"/>
        <v>3392.2288439288282</v>
      </c>
    </row>
    <row r="190" spans="1:17" x14ac:dyDescent="0.35">
      <c r="D190" s="155" t="s">
        <v>424</v>
      </c>
      <c r="E190" s="154">
        <f t="shared" ca="1" si="6"/>
        <v>2224.4420824222243</v>
      </c>
      <c r="P190" s="155" t="s">
        <v>424</v>
      </c>
      <c r="Q190" s="154">
        <f t="shared" si="7"/>
        <v>3265.7697642945141</v>
      </c>
    </row>
    <row r="191" spans="1:17" x14ac:dyDescent="0.35">
      <c r="D191" s="155" t="s">
        <v>425</v>
      </c>
      <c r="E191" s="154">
        <f t="shared" ca="1" si="6"/>
        <v>2102.8879768749084</v>
      </c>
      <c r="P191" s="155" t="s">
        <v>425</v>
      </c>
      <c r="Q191" s="154">
        <f t="shared" si="7"/>
        <v>540.52192747550862</v>
      </c>
    </row>
    <row r="192" spans="1:17" x14ac:dyDescent="0.35">
      <c r="D192" s="155" t="s">
        <v>426</v>
      </c>
      <c r="E192" s="154">
        <f t="shared" ca="1" si="6"/>
        <v>1994.2991728277659</v>
      </c>
      <c r="P192" s="155" t="s">
        <v>426</v>
      </c>
      <c r="Q192" s="154">
        <f t="shared" si="7"/>
        <v>217.54291987214884</v>
      </c>
    </row>
    <row r="193" spans="4:19" x14ac:dyDescent="0.35">
      <c r="D193" s="155" t="s">
        <v>427</v>
      </c>
      <c r="E193" s="154">
        <f t="shared" ca="1" si="6"/>
        <v>1777.8665677746451</v>
      </c>
      <c r="P193" s="155" t="s">
        <v>427</v>
      </c>
      <c r="Q193" s="154">
        <f t="shared" si="7"/>
        <v>2377.5333183580783</v>
      </c>
    </row>
    <row r="194" spans="4:19" x14ac:dyDescent="0.35">
      <c r="D194" s="155" t="s">
        <v>428</v>
      </c>
      <c r="E194" s="154">
        <f t="shared" ca="1" si="6"/>
        <v>1484.0918043612432</v>
      </c>
      <c r="P194" s="155" t="s">
        <v>428</v>
      </c>
      <c r="Q194" s="154">
        <f t="shared" si="7"/>
        <v>1939.6356146453363</v>
      </c>
    </row>
    <row r="195" spans="4:19" ht="15" thickBot="1" x14ac:dyDescent="0.4">
      <c r="D195" s="155" t="s">
        <v>429</v>
      </c>
      <c r="E195" s="154">
        <f t="shared" ca="1" si="6"/>
        <v>1012.1925615624813</v>
      </c>
      <c r="P195" s="155" t="s">
        <v>429</v>
      </c>
      <c r="Q195" s="154">
        <f t="shared" si="7"/>
        <v>1278.0459776789835</v>
      </c>
    </row>
    <row r="196" spans="4:19" ht="15" thickBot="1" x14ac:dyDescent="0.4">
      <c r="D196" s="159" t="s">
        <v>430</v>
      </c>
      <c r="E196" s="154">
        <f t="shared" ca="1" si="6"/>
        <v>87.155162709131943</v>
      </c>
      <c r="F196" s="160" t="s">
        <v>431</v>
      </c>
      <c r="G196" s="107">
        <f ca="1">SUM(E177:E196)</f>
        <v>32718.55470302323</v>
      </c>
      <c r="P196" s="159" t="s">
        <v>430</v>
      </c>
      <c r="Q196" s="154">
        <f t="shared" si="7"/>
        <v>55.137874054448766</v>
      </c>
      <c r="R196" s="160" t="s">
        <v>431</v>
      </c>
      <c r="S196" s="107">
        <f>SUM(Q177:Q196)</f>
        <v>28899.457143617161</v>
      </c>
    </row>
  </sheetData>
  <mergeCells count="17">
    <mergeCell ref="A5:X6"/>
    <mergeCell ref="A31:X32"/>
    <mergeCell ref="A57:X58"/>
    <mergeCell ref="A59:B59"/>
    <mergeCell ref="A176:B176"/>
    <mergeCell ref="M176:N176"/>
    <mergeCell ref="A83:X84"/>
    <mergeCell ref="A85:B85"/>
    <mergeCell ref="A91:F92"/>
    <mergeCell ref="M91:R92"/>
    <mergeCell ref="A117:X118"/>
    <mergeCell ref="A119:B119"/>
    <mergeCell ref="A124:F125"/>
    <mergeCell ref="M124:R125"/>
    <mergeCell ref="A150:X151"/>
    <mergeCell ref="A154:F155"/>
    <mergeCell ref="M154:R15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6098-47CD-4A1E-917B-1C312DB5F5BB}">
  <dimension ref="B3:O49"/>
  <sheetViews>
    <sheetView workbookViewId="0">
      <selection activeCell="I23" sqref="I23:O24"/>
    </sheetView>
  </sheetViews>
  <sheetFormatPr defaultRowHeight="14.5" x14ac:dyDescent="0.35"/>
  <cols>
    <col min="5" max="5" width="12.26953125" bestFit="1" customWidth="1"/>
    <col min="7" max="7" width="14.453125" bestFit="1" customWidth="1"/>
  </cols>
  <sheetData>
    <row r="3" spans="2:7" x14ac:dyDescent="0.35">
      <c r="B3" s="379" t="s">
        <v>481</v>
      </c>
      <c r="C3" s="379"/>
      <c r="D3" s="379"/>
    </row>
    <row r="4" spans="2:7" x14ac:dyDescent="0.35">
      <c r="B4" s="197" t="s">
        <v>58</v>
      </c>
      <c r="C4" s="198" t="s">
        <v>482</v>
      </c>
      <c r="D4" s="199" t="s">
        <v>483</v>
      </c>
      <c r="E4" s="197" t="s">
        <v>484</v>
      </c>
      <c r="F4" s="197" t="s">
        <v>94</v>
      </c>
      <c r="G4" s="197" t="s">
        <v>485</v>
      </c>
    </row>
    <row r="5" spans="2:7" x14ac:dyDescent="0.35">
      <c r="B5" s="197" t="s">
        <v>158</v>
      </c>
      <c r="C5" s="202">
        <f>LW!G145</f>
        <v>412.22736461084173</v>
      </c>
      <c r="D5" s="202">
        <f>DW!Q177</f>
        <v>0.46749999999999986</v>
      </c>
      <c r="E5" s="202">
        <f>SUM(C5:D5)</f>
        <v>412.69486461084171</v>
      </c>
      <c r="F5" s="202">
        <v>-9.5</v>
      </c>
      <c r="G5" s="202">
        <f>E5*F5</f>
        <v>-3920.6012138029964</v>
      </c>
    </row>
    <row r="6" spans="2:7" x14ac:dyDescent="0.35">
      <c r="B6" s="197" t="s">
        <v>159</v>
      </c>
      <c r="C6" s="202">
        <f>LW!G146</f>
        <v>737.13688161475864</v>
      </c>
      <c r="D6" s="202">
        <f>DW!Q178</f>
        <v>0.82499999999999984</v>
      </c>
      <c r="E6" s="202">
        <f t="shared" ref="E6:E24" si="0">SUM(C6:D6)</f>
        <v>737.96188161475868</v>
      </c>
      <c r="F6" s="202">
        <v>-8.5</v>
      </c>
      <c r="G6" s="202">
        <f t="shared" ref="G6:G24" si="1">E6*F6</f>
        <v>-6272.6759937254492</v>
      </c>
    </row>
    <row r="7" spans="2:7" x14ac:dyDescent="0.35">
      <c r="B7" s="197" t="s">
        <v>160</v>
      </c>
      <c r="C7" s="202">
        <f>LW!G147</f>
        <v>1026.9067667418924</v>
      </c>
      <c r="D7" s="202">
        <f>DW!Q179</f>
        <v>1.0174999999999998</v>
      </c>
      <c r="E7" s="202">
        <f t="shared" si="0"/>
        <v>1027.9242667418923</v>
      </c>
      <c r="F7" s="202">
        <v>-7.5</v>
      </c>
      <c r="G7" s="202">
        <f t="shared" si="1"/>
        <v>-7709.4320005641921</v>
      </c>
    </row>
    <row r="8" spans="2:7" x14ac:dyDescent="0.35">
      <c r="B8" s="197" t="s">
        <v>161</v>
      </c>
      <c r="C8" s="202">
        <f>LW!G148</f>
        <v>980.0413833308728</v>
      </c>
      <c r="D8" s="202">
        <f>DW!Q180</f>
        <v>0.98999999999999977</v>
      </c>
      <c r="E8" s="202">
        <f t="shared" si="0"/>
        <v>981.03138333087281</v>
      </c>
      <c r="F8" s="202">
        <v>-6.5</v>
      </c>
      <c r="G8" s="202">
        <f t="shared" si="1"/>
        <v>-6376.7039916506728</v>
      </c>
    </row>
    <row r="9" spans="2:7" x14ac:dyDescent="0.35">
      <c r="B9" s="197" t="s">
        <v>162</v>
      </c>
      <c r="C9" s="202">
        <f>LW!G149</f>
        <v>525.70292784950948</v>
      </c>
      <c r="D9" s="202">
        <f>DW!Q181</f>
        <v>2833.7620165312433</v>
      </c>
      <c r="E9" s="202">
        <f t="shared" si="0"/>
        <v>3359.464944380753</v>
      </c>
      <c r="F9" s="202">
        <v>-5.5</v>
      </c>
      <c r="G9" s="202">
        <f t="shared" si="1"/>
        <v>-18477.057194094141</v>
      </c>
    </row>
    <row r="10" spans="2:7" x14ac:dyDescent="0.35">
      <c r="B10" s="197" t="s">
        <v>163</v>
      </c>
      <c r="C10" s="202">
        <f>LW!G150</f>
        <v>351.13016151642341</v>
      </c>
      <c r="D10" s="202">
        <f>DW!Q182</f>
        <v>3100.3870126909378</v>
      </c>
      <c r="E10" s="202">
        <f t="shared" si="0"/>
        <v>3451.5171742073612</v>
      </c>
      <c r="F10" s="202">
        <v>-4.5</v>
      </c>
      <c r="G10" s="202">
        <f t="shared" si="1"/>
        <v>-15531.827283933126</v>
      </c>
    </row>
    <row r="11" spans="2:7" x14ac:dyDescent="0.35">
      <c r="B11" s="197" t="s">
        <v>164</v>
      </c>
      <c r="C11" s="202">
        <f>LW!G151</f>
        <v>368.86750290822238</v>
      </c>
      <c r="D11" s="202">
        <f>DW!Q183</f>
        <v>708.17861445852736</v>
      </c>
      <c r="E11" s="202">
        <f t="shared" si="0"/>
        <v>1077.0461173667497</v>
      </c>
      <c r="F11" s="202">
        <v>-3.5</v>
      </c>
      <c r="G11" s="202">
        <f t="shared" si="1"/>
        <v>-3769.661410783624</v>
      </c>
    </row>
    <row r="12" spans="2:7" x14ac:dyDescent="0.35">
      <c r="B12" s="197" t="s">
        <v>165</v>
      </c>
      <c r="C12" s="202">
        <f>LW!G152</f>
        <v>386.60484430002134</v>
      </c>
      <c r="D12" s="202">
        <f>DW!Q184</f>
        <v>764.27989843951309</v>
      </c>
      <c r="E12" s="202">
        <f t="shared" si="0"/>
        <v>1150.8847427395344</v>
      </c>
      <c r="F12" s="202">
        <v>-2.5</v>
      </c>
      <c r="G12" s="202">
        <f t="shared" si="1"/>
        <v>-2877.2118568488359</v>
      </c>
    </row>
    <row r="13" spans="2:7" x14ac:dyDescent="0.35">
      <c r="B13" s="197" t="s">
        <v>166</v>
      </c>
      <c r="C13" s="202">
        <f>LW!G153</f>
        <v>404.34218569182053</v>
      </c>
      <c r="D13" s="202">
        <f>DW!Q185</f>
        <v>3393.4380423521111</v>
      </c>
      <c r="E13" s="202">
        <f t="shared" si="0"/>
        <v>3797.7802280439319</v>
      </c>
      <c r="F13" s="202">
        <v>-1.5</v>
      </c>
      <c r="G13" s="202">
        <f t="shared" si="1"/>
        <v>-5696.6703420658978</v>
      </c>
    </row>
    <row r="14" spans="2:7" x14ac:dyDescent="0.35">
      <c r="B14" s="197" t="s">
        <v>167</v>
      </c>
      <c r="C14" s="202">
        <f>LW!G154</f>
        <v>404.34218569182053</v>
      </c>
      <c r="D14" s="202">
        <f>DW!Q186</f>
        <v>3394.2884356084637</v>
      </c>
      <c r="E14" s="202">
        <f t="shared" si="0"/>
        <v>3798.6306213002845</v>
      </c>
      <c r="F14" s="202">
        <v>-0.5</v>
      </c>
      <c r="G14" s="202">
        <f t="shared" si="1"/>
        <v>-1899.3153106501422</v>
      </c>
    </row>
    <row r="15" spans="2:7" x14ac:dyDescent="0.35">
      <c r="B15" s="197" t="s">
        <v>168</v>
      </c>
      <c r="C15" s="202">
        <f>LW!G155</f>
        <v>404.34218569182053</v>
      </c>
      <c r="D15" s="202">
        <f>DW!Q187</f>
        <v>817.60104780173992</v>
      </c>
      <c r="E15" s="202">
        <f t="shared" si="0"/>
        <v>1221.9432334935605</v>
      </c>
      <c r="F15" s="202">
        <v>0.5</v>
      </c>
      <c r="G15" s="202">
        <f t="shared" si="1"/>
        <v>610.97161674678023</v>
      </c>
    </row>
    <row r="16" spans="2:7" x14ac:dyDescent="0.35">
      <c r="B16" s="197" t="s">
        <v>169</v>
      </c>
      <c r="C16" s="202">
        <f>LW!G156</f>
        <v>404.34218569182053</v>
      </c>
      <c r="D16" s="202">
        <f>DW!Q188</f>
        <v>817.80583542677789</v>
      </c>
      <c r="E16" s="202">
        <f t="shared" si="0"/>
        <v>1222.1480211185985</v>
      </c>
      <c r="F16" s="202">
        <v>1.5</v>
      </c>
      <c r="G16" s="202">
        <f t="shared" si="1"/>
        <v>1833.2220316778978</v>
      </c>
    </row>
    <row r="17" spans="2:15" x14ac:dyDescent="0.35">
      <c r="B17" s="197" t="s">
        <v>170</v>
      </c>
      <c r="C17" s="202">
        <f>LW!G157</f>
        <v>404.34218569182053</v>
      </c>
      <c r="D17" s="202">
        <f>DW!Q189</f>
        <v>3392.2288439288282</v>
      </c>
      <c r="E17" s="202">
        <f t="shared" si="0"/>
        <v>3796.5710296206489</v>
      </c>
      <c r="F17" s="202">
        <v>2.5</v>
      </c>
      <c r="G17" s="202">
        <f t="shared" si="1"/>
        <v>9491.4275740516223</v>
      </c>
    </row>
    <row r="18" spans="2:15" x14ac:dyDescent="0.35">
      <c r="B18" s="197" t="s">
        <v>171</v>
      </c>
      <c r="C18" s="202">
        <f>LW!G158</f>
        <v>404.34218569182053</v>
      </c>
      <c r="D18" s="202">
        <f>DW!Q190</f>
        <v>3265.7697642945141</v>
      </c>
      <c r="E18" s="202">
        <f t="shared" si="0"/>
        <v>3670.1119499863344</v>
      </c>
      <c r="F18" s="202">
        <v>3.5</v>
      </c>
      <c r="G18" s="202">
        <f t="shared" si="1"/>
        <v>12845.39182495217</v>
      </c>
    </row>
    <row r="19" spans="2:15" x14ac:dyDescent="0.35">
      <c r="B19" s="197" t="s">
        <v>172</v>
      </c>
      <c r="C19" s="202">
        <f>LW!G159</f>
        <v>374.77351034147102</v>
      </c>
      <c r="D19" s="202">
        <f>DW!Q191</f>
        <v>540.52192747550862</v>
      </c>
      <c r="E19" s="202">
        <f t="shared" si="0"/>
        <v>915.29543781697964</v>
      </c>
      <c r="F19" s="202">
        <v>4.5</v>
      </c>
      <c r="G19" s="202">
        <f t="shared" si="1"/>
        <v>4118.829470176408</v>
      </c>
    </row>
    <row r="20" spans="2:15" x14ac:dyDescent="0.35">
      <c r="B20" s="197" t="s">
        <v>173</v>
      </c>
      <c r="C20" s="202">
        <f>LW!G160</f>
        <v>345.20483499112146</v>
      </c>
      <c r="D20" s="202">
        <f>DW!Q192</f>
        <v>217.54291987214884</v>
      </c>
      <c r="E20" s="202">
        <f t="shared" si="0"/>
        <v>562.7477548632703</v>
      </c>
      <c r="F20" s="202">
        <v>5.5</v>
      </c>
      <c r="G20" s="202">
        <f t="shared" si="1"/>
        <v>3095.1126517479865</v>
      </c>
    </row>
    <row r="21" spans="2:15" ht="15" thickBot="1" x14ac:dyDescent="0.4">
      <c r="B21" s="197" t="s">
        <v>174</v>
      </c>
      <c r="C21" s="202">
        <f>LW!G161</f>
        <v>315.63615964077189</v>
      </c>
      <c r="D21" s="202">
        <f>DW!Q193</f>
        <v>2377.5333183580783</v>
      </c>
      <c r="E21" s="202">
        <f t="shared" si="0"/>
        <v>2693.1694779988502</v>
      </c>
      <c r="F21" s="202">
        <v>6.5</v>
      </c>
      <c r="G21" s="202">
        <f t="shared" si="1"/>
        <v>17505.601606992524</v>
      </c>
      <c r="I21" s="157" t="s">
        <v>435</v>
      </c>
      <c r="J21" s="104">
        <f>DW!B3</f>
        <v>9.35</v>
      </c>
    </row>
    <row r="22" spans="2:15" x14ac:dyDescent="0.35">
      <c r="B22" s="197" t="s">
        <v>175</v>
      </c>
      <c r="C22" s="202">
        <f>LW!G162</f>
        <v>286.06748429042233</v>
      </c>
      <c r="D22" s="202">
        <f>DW!Q194</f>
        <v>1939.6356146453363</v>
      </c>
      <c r="E22" s="202">
        <f t="shared" si="0"/>
        <v>2225.7030989357586</v>
      </c>
      <c r="F22" s="202">
        <v>7.5</v>
      </c>
      <c r="G22" s="202">
        <f t="shared" si="1"/>
        <v>16692.773242018189</v>
      </c>
    </row>
    <row r="23" spans="2:15" x14ac:dyDescent="0.35">
      <c r="B23" s="197" t="s">
        <v>176</v>
      </c>
      <c r="C23" s="202">
        <f>LW!G163</f>
        <v>283.78671618644961</v>
      </c>
      <c r="D23" s="202">
        <f>DW!Q195</f>
        <v>1278.0459776789835</v>
      </c>
      <c r="E23" s="202">
        <f t="shared" si="0"/>
        <v>1561.8326938654332</v>
      </c>
      <c r="F23" s="202">
        <v>8.5</v>
      </c>
      <c r="G23" s="202">
        <f t="shared" si="1"/>
        <v>13275.577897856181</v>
      </c>
      <c r="I23" s="379" t="s">
        <v>487</v>
      </c>
      <c r="J23" s="379"/>
      <c r="K23" s="379"/>
      <c r="L23" s="379"/>
      <c r="M23" s="379"/>
      <c r="N23" s="379"/>
      <c r="O23" s="230">
        <f>J21*G25/E25</f>
        <v>2.651176164769995</v>
      </c>
    </row>
    <row r="24" spans="2:15" x14ac:dyDescent="0.35">
      <c r="B24" s="197" t="s">
        <v>177</v>
      </c>
      <c r="C24" s="202">
        <f>LW!G164</f>
        <v>350.86872251619593</v>
      </c>
      <c r="D24" s="202">
        <f>DW!Q196</f>
        <v>55.137874054448766</v>
      </c>
      <c r="E24" s="202">
        <f t="shared" si="0"/>
        <v>406.00659657064472</v>
      </c>
      <c r="F24" s="202">
        <v>9.5</v>
      </c>
      <c r="G24" s="202">
        <f t="shared" si="1"/>
        <v>3857.0626674211248</v>
      </c>
      <c r="I24" s="379" t="s">
        <v>488</v>
      </c>
      <c r="J24" s="379"/>
      <c r="K24" s="379"/>
      <c r="L24" s="379"/>
      <c r="M24" s="379"/>
      <c r="N24" s="379"/>
      <c r="O24" s="200">
        <f>E25</f>
        <v>38070.465518607059</v>
      </c>
    </row>
    <row r="25" spans="2:15" x14ac:dyDescent="0.35">
      <c r="B25" s="201" t="s">
        <v>122</v>
      </c>
      <c r="C25" s="202" t="s">
        <v>123</v>
      </c>
      <c r="D25" s="202" t="s">
        <v>123</v>
      </c>
      <c r="E25" s="202">
        <f>SUM(E5:E24)</f>
        <v>38070.465518607059</v>
      </c>
      <c r="F25" s="202" t="s">
        <v>123</v>
      </c>
      <c r="G25" s="202">
        <f>SUM(G5:G24)</f>
        <v>10794.813985521818</v>
      </c>
    </row>
    <row r="27" spans="2:15" x14ac:dyDescent="0.35">
      <c r="B27" s="379" t="s">
        <v>486</v>
      </c>
      <c r="C27" s="379"/>
      <c r="D27" s="379"/>
    </row>
    <row r="28" spans="2:15" x14ac:dyDescent="0.35">
      <c r="B28" s="197" t="s">
        <v>58</v>
      </c>
      <c r="C28" s="198" t="s">
        <v>482</v>
      </c>
      <c r="D28" s="199" t="s">
        <v>483</v>
      </c>
      <c r="E28" s="197" t="s">
        <v>484</v>
      </c>
      <c r="F28" s="197" t="s">
        <v>94</v>
      </c>
      <c r="G28" s="197" t="s">
        <v>485</v>
      </c>
    </row>
    <row r="29" spans="2:15" x14ac:dyDescent="0.35">
      <c r="B29" s="197" t="s">
        <v>158</v>
      </c>
      <c r="C29" s="202">
        <f>LW!G145</f>
        <v>412.22736461084173</v>
      </c>
      <c r="D29" s="202">
        <f ca="1">DW!E177</f>
        <v>0.46749999999999986</v>
      </c>
      <c r="E29" s="202">
        <f ca="1">SUM(C29:D29)</f>
        <v>412.69486461084171</v>
      </c>
      <c r="F29" s="202">
        <v>-9.5</v>
      </c>
      <c r="G29" s="202">
        <f ca="1">E29*F29</f>
        <v>-3920.6012138029964</v>
      </c>
    </row>
    <row r="30" spans="2:15" x14ac:dyDescent="0.35">
      <c r="B30" s="197" t="s">
        <v>159</v>
      </c>
      <c r="C30" s="202">
        <f>LW!G146</f>
        <v>737.13688161475864</v>
      </c>
      <c r="D30" s="202">
        <f ca="1">DW!E178</f>
        <v>0.82499999999999984</v>
      </c>
      <c r="E30" s="202">
        <f t="shared" ref="E30:E48" ca="1" si="2">SUM(C30:D30)</f>
        <v>737.96188161475868</v>
      </c>
      <c r="F30" s="202">
        <v>-8.5</v>
      </c>
      <c r="G30" s="202">
        <f t="shared" ref="G30:G48" ca="1" si="3">E30*F30</f>
        <v>-6272.6759937254492</v>
      </c>
    </row>
    <row r="31" spans="2:15" x14ac:dyDescent="0.35">
      <c r="B31" s="197" t="s">
        <v>160</v>
      </c>
      <c r="C31" s="202">
        <f>LW!G147</f>
        <v>1026.9067667418924</v>
      </c>
      <c r="D31" s="202">
        <f ca="1">DW!E179</f>
        <v>1.0174999999999998</v>
      </c>
      <c r="E31" s="202">
        <f t="shared" ca="1" si="2"/>
        <v>1027.9242667418923</v>
      </c>
      <c r="F31" s="202">
        <v>-7.5</v>
      </c>
      <c r="G31" s="202">
        <f t="shared" ca="1" si="3"/>
        <v>-7709.4320005641921</v>
      </c>
    </row>
    <row r="32" spans="2:15" x14ac:dyDescent="0.35">
      <c r="B32" s="197" t="s">
        <v>161</v>
      </c>
      <c r="C32" s="202">
        <f>LW!G148</f>
        <v>980.0413833308728</v>
      </c>
      <c r="D32" s="202">
        <f ca="1">DW!E180</f>
        <v>0.98999999999999977</v>
      </c>
      <c r="E32" s="202">
        <f t="shared" ca="1" si="2"/>
        <v>981.03138333087281</v>
      </c>
      <c r="F32" s="202">
        <v>-6.5</v>
      </c>
      <c r="G32" s="202">
        <f t="shared" ca="1" si="3"/>
        <v>-6376.7039916506728</v>
      </c>
    </row>
    <row r="33" spans="2:15" x14ac:dyDescent="0.35">
      <c r="B33" s="197" t="s">
        <v>162</v>
      </c>
      <c r="C33" s="202">
        <f>LW!G149</f>
        <v>525.70292784950948</v>
      </c>
      <c r="D33" s="202">
        <f ca="1">DW!E181</f>
        <v>2477.384547406818</v>
      </c>
      <c r="E33" s="202">
        <f t="shared" ca="1" si="2"/>
        <v>3003.0874752563277</v>
      </c>
      <c r="F33" s="202">
        <v>-5.5</v>
      </c>
      <c r="G33" s="202">
        <f t="shared" ca="1" si="3"/>
        <v>-16516.981113909802</v>
      </c>
    </row>
    <row r="34" spans="2:15" x14ac:dyDescent="0.35">
      <c r="B34" s="197" t="s">
        <v>163</v>
      </c>
      <c r="C34" s="202">
        <f>LW!G150</f>
        <v>351.13016151642341</v>
      </c>
      <c r="D34" s="202">
        <f ca="1">DW!E182</f>
        <v>2710.4784492888734</v>
      </c>
      <c r="E34" s="202">
        <f t="shared" ca="1" si="2"/>
        <v>3061.6086108052968</v>
      </c>
      <c r="F34" s="202">
        <v>-4.5</v>
      </c>
      <c r="G34" s="202">
        <f t="shared" ca="1" si="3"/>
        <v>-13777.238748623837</v>
      </c>
    </row>
    <row r="35" spans="2:15" x14ac:dyDescent="0.35">
      <c r="B35" s="197" t="s">
        <v>164</v>
      </c>
      <c r="C35" s="202">
        <f>LW!G151</f>
        <v>368.86750290822238</v>
      </c>
      <c r="D35" s="202">
        <f ca="1">DW!E183</f>
        <v>2830.1744628397269</v>
      </c>
      <c r="E35" s="202">
        <f t="shared" ca="1" si="2"/>
        <v>3199.0419657479492</v>
      </c>
      <c r="F35" s="202">
        <v>-3.5</v>
      </c>
      <c r="G35" s="202">
        <f t="shared" ca="1" si="3"/>
        <v>-11196.646880117822</v>
      </c>
    </row>
    <row r="36" spans="2:15" x14ac:dyDescent="0.35">
      <c r="B36" s="197" t="s">
        <v>165</v>
      </c>
      <c r="C36" s="202">
        <f>LW!G152</f>
        <v>386.60484430002134</v>
      </c>
      <c r="D36" s="202">
        <f ca="1">DW!E184</f>
        <v>2417.9940099224882</v>
      </c>
      <c r="E36" s="202">
        <f t="shared" ca="1" si="2"/>
        <v>2804.5988542225095</v>
      </c>
      <c r="F36" s="202">
        <v>-2.5</v>
      </c>
      <c r="G36" s="202">
        <f t="shared" ca="1" si="3"/>
        <v>-7011.4971355562739</v>
      </c>
    </row>
    <row r="37" spans="2:15" x14ac:dyDescent="0.35">
      <c r="B37" s="197" t="s">
        <v>166</v>
      </c>
      <c r="C37" s="202">
        <f>LW!G153</f>
        <v>404.34218569182053</v>
      </c>
      <c r="D37" s="202">
        <f ca="1">DW!E185</f>
        <v>2397.3189699095124</v>
      </c>
      <c r="E37" s="202">
        <f t="shared" ca="1" si="2"/>
        <v>2801.6611556013331</v>
      </c>
      <c r="F37" s="202">
        <v>-1.5</v>
      </c>
      <c r="G37" s="202">
        <f t="shared" ca="1" si="3"/>
        <v>-4202.4917334019992</v>
      </c>
    </row>
    <row r="38" spans="2:15" x14ac:dyDescent="0.35">
      <c r="B38" s="197" t="s">
        <v>167</v>
      </c>
      <c r="C38" s="202">
        <f>LW!G154</f>
        <v>404.34218569182053</v>
      </c>
      <c r="D38" s="202">
        <f ca="1">DW!E186</f>
        <v>2319.3049530096173</v>
      </c>
      <c r="E38" s="202">
        <f t="shared" ca="1" si="2"/>
        <v>2723.6471387014381</v>
      </c>
      <c r="F38" s="202">
        <v>-0.5</v>
      </c>
      <c r="G38" s="202">
        <f t="shared" ca="1" si="3"/>
        <v>-1361.823569350719</v>
      </c>
    </row>
    <row r="39" spans="2:15" x14ac:dyDescent="0.35">
      <c r="B39" s="197" t="s">
        <v>168</v>
      </c>
      <c r="C39" s="202">
        <f>LW!G155</f>
        <v>404.34218569182053</v>
      </c>
      <c r="D39" s="202">
        <f ca="1">DW!E187</f>
        <v>2398.5205029034223</v>
      </c>
      <c r="E39" s="202">
        <f t="shared" ca="1" si="2"/>
        <v>2802.8626885952426</v>
      </c>
      <c r="F39" s="202">
        <v>0.5</v>
      </c>
      <c r="G39" s="202">
        <f t="shared" ca="1" si="3"/>
        <v>1401.4313442976213</v>
      </c>
    </row>
    <row r="40" spans="2:15" x14ac:dyDescent="0.35">
      <c r="B40" s="197" t="s">
        <v>169</v>
      </c>
      <c r="C40" s="202">
        <f>LW!G156</f>
        <v>404.34218569182053</v>
      </c>
      <c r="D40" s="202">
        <f ca="1">DW!E188</f>
        <v>2241.8129191056073</v>
      </c>
      <c r="E40" s="202">
        <f t="shared" ca="1" si="2"/>
        <v>2646.1551047974281</v>
      </c>
      <c r="F40" s="202">
        <v>1.5</v>
      </c>
      <c r="G40" s="202">
        <f t="shared" ca="1" si="3"/>
        <v>3969.2326571961421</v>
      </c>
    </row>
    <row r="41" spans="2:15" x14ac:dyDescent="0.35">
      <c r="B41" s="197" t="s">
        <v>170</v>
      </c>
      <c r="C41" s="202">
        <f>LW!G157</f>
        <v>404.34218569182053</v>
      </c>
      <c r="D41" s="202">
        <f ca="1">DW!E189</f>
        <v>2239.3305601047591</v>
      </c>
      <c r="E41" s="202">
        <f t="shared" ca="1" si="2"/>
        <v>2643.6727457965799</v>
      </c>
      <c r="F41" s="202">
        <v>2.5</v>
      </c>
      <c r="G41" s="202">
        <f t="shared" ca="1" si="3"/>
        <v>6609.1818644914492</v>
      </c>
    </row>
    <row r="42" spans="2:15" x14ac:dyDescent="0.35">
      <c r="B42" s="197" t="s">
        <v>171</v>
      </c>
      <c r="C42" s="202">
        <f>LW!G158</f>
        <v>404.34218569182053</v>
      </c>
      <c r="D42" s="202">
        <f ca="1">DW!E190</f>
        <v>2224.4420824222243</v>
      </c>
      <c r="E42" s="202">
        <f t="shared" ca="1" si="2"/>
        <v>2628.7842681140446</v>
      </c>
      <c r="F42" s="202">
        <v>3.5</v>
      </c>
      <c r="G42" s="202">
        <f t="shared" ca="1" si="3"/>
        <v>9200.7449383991552</v>
      </c>
    </row>
    <row r="43" spans="2:15" x14ac:dyDescent="0.35">
      <c r="B43" s="197" t="s">
        <v>172</v>
      </c>
      <c r="C43" s="202">
        <f>LW!G159</f>
        <v>374.77351034147102</v>
      </c>
      <c r="D43" s="202">
        <f ca="1">DW!E191</f>
        <v>2102.8879768749084</v>
      </c>
      <c r="E43" s="202">
        <f t="shared" ca="1" si="2"/>
        <v>2477.6614872163796</v>
      </c>
      <c r="F43" s="202">
        <v>4.5</v>
      </c>
      <c r="G43" s="202">
        <f t="shared" ca="1" si="3"/>
        <v>11149.476692473709</v>
      </c>
    </row>
    <row r="44" spans="2:15" x14ac:dyDescent="0.35">
      <c r="B44" s="197" t="s">
        <v>173</v>
      </c>
      <c r="C44" s="202">
        <f>LW!G160</f>
        <v>345.20483499112146</v>
      </c>
      <c r="D44" s="202">
        <f ca="1">DW!E192</f>
        <v>1994.2991728277659</v>
      </c>
      <c r="E44" s="202">
        <f t="shared" ca="1" si="2"/>
        <v>2339.5040078188872</v>
      </c>
      <c r="F44" s="202">
        <v>5.5</v>
      </c>
      <c r="G44" s="202">
        <f t="shared" ca="1" si="3"/>
        <v>12867.272043003879</v>
      </c>
    </row>
    <row r="45" spans="2:15" x14ac:dyDescent="0.35">
      <c r="B45" s="197" t="s">
        <v>174</v>
      </c>
      <c r="C45" s="202">
        <f>LW!G161</f>
        <v>315.63615964077189</v>
      </c>
      <c r="D45" s="202">
        <f ca="1">DW!E193</f>
        <v>1777.8665677746451</v>
      </c>
      <c r="E45" s="202">
        <f t="shared" ca="1" si="2"/>
        <v>2093.5027274154172</v>
      </c>
      <c r="F45" s="202">
        <v>6.5</v>
      </c>
      <c r="G45" s="202">
        <f t="shared" ca="1" si="3"/>
        <v>13607.767728200211</v>
      </c>
    </row>
    <row r="46" spans="2:15" x14ac:dyDescent="0.35">
      <c r="B46" s="197" t="s">
        <v>175</v>
      </c>
      <c r="C46" s="202">
        <f>LW!G162</f>
        <v>286.06748429042233</v>
      </c>
      <c r="D46" s="202">
        <f ca="1">DW!E194</f>
        <v>1484.0918043612432</v>
      </c>
      <c r="E46" s="202">
        <f t="shared" ca="1" si="2"/>
        <v>1770.1592886516655</v>
      </c>
      <c r="F46" s="202">
        <v>7.5</v>
      </c>
      <c r="G46" s="202">
        <f t="shared" ca="1" si="3"/>
        <v>13276.194664887491</v>
      </c>
    </row>
    <row r="47" spans="2:15" x14ac:dyDescent="0.35">
      <c r="B47" s="197" t="s">
        <v>176</v>
      </c>
      <c r="C47" s="202">
        <f>LW!G163</f>
        <v>283.78671618644961</v>
      </c>
      <c r="D47" s="202">
        <f ca="1">DW!E195</f>
        <v>1012.1925615624813</v>
      </c>
      <c r="E47" s="202">
        <f t="shared" ca="1" si="2"/>
        <v>1295.9792777489308</v>
      </c>
      <c r="F47" s="202">
        <v>8.5</v>
      </c>
      <c r="G47" s="202">
        <f t="shared" ca="1" si="3"/>
        <v>11015.823860865912</v>
      </c>
      <c r="I47" s="379" t="s">
        <v>487</v>
      </c>
      <c r="J47" s="379"/>
      <c r="K47" s="379"/>
      <c r="L47" s="379"/>
      <c r="M47" s="379"/>
      <c r="N47" s="379"/>
      <c r="O47" s="200">
        <f ca="1">J21*G49/E49</f>
        <v>1.9892695911520033</v>
      </c>
    </row>
    <row r="48" spans="2:15" x14ac:dyDescent="0.35">
      <c r="B48" s="197" t="s">
        <v>177</v>
      </c>
      <c r="C48" s="202">
        <f>LW!G164</f>
        <v>350.86872251619593</v>
      </c>
      <c r="D48" s="202">
        <f ca="1">DW!E196</f>
        <v>87.155162709131943</v>
      </c>
      <c r="E48" s="202">
        <f t="shared" ca="1" si="2"/>
        <v>438.02388522532789</v>
      </c>
      <c r="F48" s="202">
        <v>9.5</v>
      </c>
      <c r="G48" s="202">
        <f t="shared" ca="1" si="3"/>
        <v>4161.2269096406153</v>
      </c>
      <c r="I48" s="379" t="s">
        <v>488</v>
      </c>
      <c r="J48" s="379"/>
      <c r="K48" s="379"/>
      <c r="L48" s="379"/>
      <c r="M48" s="379"/>
      <c r="N48" s="379"/>
      <c r="O48" s="200">
        <f ca="1">E49</f>
        <v>41889.563078013125</v>
      </c>
    </row>
    <row r="49" spans="2:7" x14ac:dyDescent="0.35">
      <c r="B49" s="201" t="s">
        <v>122</v>
      </c>
      <c r="C49" s="202" t="s">
        <v>123</v>
      </c>
      <c r="D49" s="202" t="s">
        <v>123</v>
      </c>
      <c r="E49" s="202">
        <f ca="1">SUM(E29:E48)</f>
        <v>41889.563078013125</v>
      </c>
      <c r="F49" s="202" t="s">
        <v>123</v>
      </c>
      <c r="G49" s="202">
        <f ca="1">SUM(G29:G48)</f>
        <v>8912.2603227524305</v>
      </c>
    </row>
  </sheetData>
  <mergeCells count="6">
    <mergeCell ref="I48:N48"/>
    <mergeCell ref="B3:D3"/>
    <mergeCell ref="B27:D27"/>
    <mergeCell ref="I23:N23"/>
    <mergeCell ref="I24:N24"/>
    <mergeCell ref="I47:N4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1852-61B1-49E3-8031-40C428A2A3CB}">
  <dimension ref="A1:AA47"/>
  <sheetViews>
    <sheetView topLeftCell="A18" zoomScale="75" zoomScaleNormal="75" workbookViewId="0">
      <selection activeCell="H6" sqref="H6"/>
    </sheetView>
  </sheetViews>
  <sheetFormatPr defaultRowHeight="14.5" x14ac:dyDescent="0.35"/>
  <cols>
    <col min="2" max="2" width="10.26953125" bestFit="1" customWidth="1"/>
    <col min="3" max="3" width="13.26953125" customWidth="1"/>
    <col min="4" max="4" width="10.26953125" bestFit="1" customWidth="1"/>
    <col min="5" max="5" width="13.26953125" bestFit="1" customWidth="1"/>
    <col min="6" max="6" width="12.7265625" bestFit="1" customWidth="1"/>
    <col min="7" max="7" width="13.26953125" bestFit="1" customWidth="1"/>
    <col min="8" max="8" width="15.54296875" bestFit="1" customWidth="1"/>
    <col min="9" max="9" width="14.54296875" bestFit="1" customWidth="1"/>
    <col min="10" max="10" width="15.54296875" bestFit="1" customWidth="1"/>
    <col min="11" max="11" width="11.26953125" bestFit="1" customWidth="1"/>
    <col min="13" max="13" width="13.7265625" bestFit="1" customWidth="1"/>
    <col min="14" max="14" width="12" bestFit="1" customWidth="1"/>
    <col min="18" max="18" width="15.1796875" bestFit="1" customWidth="1"/>
    <col min="19" max="19" width="16.7265625" bestFit="1" customWidth="1"/>
    <col min="20" max="20" width="15.1796875" bestFit="1" customWidth="1"/>
    <col min="21" max="23" width="12" bestFit="1" customWidth="1"/>
    <col min="24" max="24" width="17.7265625" bestFit="1" customWidth="1"/>
    <col min="25" max="27" width="12" bestFit="1" customWidth="1"/>
  </cols>
  <sheetData>
    <row r="1" spans="1:27" x14ac:dyDescent="0.35">
      <c r="A1" s="380" t="s">
        <v>489</v>
      </c>
      <c r="B1" s="380"/>
      <c r="C1" s="380"/>
      <c r="D1" s="380"/>
      <c r="E1" s="38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7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7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7" x14ac:dyDescent="0.35">
      <c r="A4" s="204" t="s">
        <v>6</v>
      </c>
      <c r="B4" s="200">
        <f>Prelude!F2</f>
        <v>9.9</v>
      </c>
      <c r="D4" s="204" t="s">
        <v>490</v>
      </c>
      <c r="E4" s="205">
        <v>10.5</v>
      </c>
      <c r="G4" s="204" t="s">
        <v>9</v>
      </c>
      <c r="H4" s="200">
        <v>0.81275576220671464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7" x14ac:dyDescent="0.35">
      <c r="A5" s="204" t="s">
        <v>5</v>
      </c>
      <c r="B5" s="200">
        <f>Prelude!E2</f>
        <v>13.7</v>
      </c>
      <c r="D5" s="204" t="s">
        <v>491</v>
      </c>
      <c r="E5" s="200">
        <f>E4+H6</f>
        <v>11.87</v>
      </c>
      <c r="G5" s="204" t="s">
        <v>10</v>
      </c>
      <c r="H5" s="200">
        <v>-0.35496474492756397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7" x14ac:dyDescent="0.35">
      <c r="A6" s="204" t="s">
        <v>4</v>
      </c>
      <c r="B6" s="200">
        <f>Prelude!C2</f>
        <v>187</v>
      </c>
      <c r="D6" s="204" t="s">
        <v>492</v>
      </c>
      <c r="E6" s="205">
        <f>B6/20</f>
        <v>9.35</v>
      </c>
      <c r="G6" s="204" t="s">
        <v>493</v>
      </c>
      <c r="H6" s="200">
        <f>B5/10</f>
        <v>1.3699999999999999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 spans="1:27" x14ac:dyDescent="0.35">
      <c r="A7" s="233" t="s">
        <v>523</v>
      </c>
      <c r="B7">
        <f>SUM(C11:C31)/21</f>
        <v>11.135273389742933</v>
      </c>
      <c r="J7" s="1" t="s">
        <v>522</v>
      </c>
      <c r="K7" s="1">
        <f>'Curvas de Bojean'!K17*2</f>
        <v>354.2155870339522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 spans="1:27" ht="16" x14ac:dyDescent="0.35">
      <c r="A8" s="206"/>
      <c r="B8" s="206"/>
      <c r="C8" s="206"/>
      <c r="D8" s="206"/>
      <c r="E8" s="206"/>
      <c r="F8" s="206"/>
      <c r="G8" s="206"/>
    </row>
    <row r="9" spans="1:27" ht="16.5" thickBot="1" x14ac:dyDescent="0.4">
      <c r="A9" s="206"/>
      <c r="B9" s="206"/>
      <c r="C9" s="206"/>
      <c r="D9" s="206"/>
      <c r="E9" s="206"/>
      <c r="F9" s="206"/>
      <c r="G9" s="206"/>
    </row>
    <row r="10" spans="1:27" x14ac:dyDescent="0.35">
      <c r="A10" s="207" t="s">
        <v>58</v>
      </c>
      <c r="B10" s="208" t="s">
        <v>494</v>
      </c>
      <c r="C10" s="208" t="s">
        <v>495</v>
      </c>
      <c r="D10" s="208" t="s">
        <v>496</v>
      </c>
      <c r="E10" s="208" t="s">
        <v>497</v>
      </c>
      <c r="F10" s="208" t="s">
        <v>498</v>
      </c>
      <c r="G10" s="208" t="s">
        <v>499</v>
      </c>
      <c r="H10" s="208" t="s">
        <v>500</v>
      </c>
      <c r="I10" s="208" t="s">
        <v>501</v>
      </c>
      <c r="J10" s="209" t="s">
        <v>502</v>
      </c>
      <c r="K10" s="210" t="s">
        <v>503</v>
      </c>
      <c r="P10" s="211" t="s">
        <v>58</v>
      </c>
      <c r="Q10" s="212" t="s">
        <v>94</v>
      </c>
      <c r="R10" s="213" t="s">
        <v>504</v>
      </c>
      <c r="S10" s="208" t="s">
        <v>505</v>
      </c>
      <c r="T10" s="213" t="s">
        <v>506</v>
      </c>
      <c r="U10" s="213" t="s">
        <v>507</v>
      </c>
      <c r="V10" s="213" t="s">
        <v>508</v>
      </c>
      <c r="W10" s="213" t="s">
        <v>509</v>
      </c>
      <c r="X10" s="213" t="s">
        <v>510</v>
      </c>
      <c r="Y10" s="213" t="s">
        <v>511</v>
      </c>
      <c r="Z10" s="213" t="s">
        <v>512</v>
      </c>
      <c r="AA10" s="214" t="s">
        <v>513</v>
      </c>
    </row>
    <row r="11" spans="1:27" x14ac:dyDescent="0.35">
      <c r="A11" s="215">
        <v>0</v>
      </c>
      <c r="B11" s="205">
        <f>$E$4</f>
        <v>10.5</v>
      </c>
      <c r="C11" s="234">
        <f>(B11)+($H$4)+(($H$5)*((Q12*$E$6)/($B$6)))</f>
        <v>11.312755762206715</v>
      </c>
      <c r="D11" s="200">
        <f>$E$5</f>
        <v>11.87</v>
      </c>
      <c r="E11" s="205">
        <f>'Curvas de Bojean'!$C62*(B11/$B$5)^4+'Curvas de Bojean'!$D62*(B11/$B$5)^3+'Curvas de Bojean'!$E62*(B11/$B$5)^2+'Curvas de Bojean'!$F62*(B11/$B$5)</f>
        <v>1.3527284181639926E-2</v>
      </c>
      <c r="F11" s="205">
        <f>'Curvas de Bojean'!$C62*(C11/$B$5)^4+'Curvas de Bojean'!$D62*(C11/$B$5)^3+'Curvas de Bojean'!$E62*(C11/$B$5)^2+'Curvas de Bojean'!$F62*(C11/$B$5)</f>
        <v>2.2464587845216627E-2</v>
      </c>
      <c r="G11" s="205">
        <f>'Curvas de Bojean'!$C62*(D11/$B$5)^4+'Curvas de Bojean'!$D62*(D11/$B$5)^3+'Curvas de Bojean'!$E62*(D11/$B$5)^2+'Curvas de Bojean'!$F62*(D11/$B$5)</f>
        <v>3.0507879390681933E-2</v>
      </c>
      <c r="H11" s="200">
        <f t="shared" ref="H11:H31" si="0">$K$7*E11</f>
        <v>4.7915749073746818</v>
      </c>
      <c r="I11" s="200">
        <f t="shared" ref="I11:I31" si="1">$K$7*F11</f>
        <v>7.9573071710691945</v>
      </c>
      <c r="J11" s="200">
        <f t="shared" ref="J11:J31" si="2">$K$7*G11</f>
        <v>10.806366407531414</v>
      </c>
      <c r="K11" s="232">
        <v>8</v>
      </c>
      <c r="P11" s="217"/>
      <c r="Q11" s="218"/>
      <c r="R11" s="203" t="s">
        <v>2</v>
      </c>
      <c r="S11" s="219"/>
      <c r="T11" s="203" t="s">
        <v>96</v>
      </c>
      <c r="U11" s="203" t="s">
        <v>97</v>
      </c>
      <c r="V11" s="203" t="s">
        <v>5</v>
      </c>
      <c r="W11" s="219"/>
      <c r="X11" s="203" t="s">
        <v>98</v>
      </c>
      <c r="Y11" s="203" t="s">
        <v>99</v>
      </c>
      <c r="Z11" s="203" t="s">
        <v>100</v>
      </c>
      <c r="AA11" s="220"/>
    </row>
    <row r="12" spans="1:27" x14ac:dyDescent="0.35">
      <c r="A12" s="215">
        <v>1</v>
      </c>
      <c r="B12" s="205">
        <f t="shared" ref="B12:B31" si="3">$E$4</f>
        <v>10.5</v>
      </c>
      <c r="C12" s="234">
        <f t="shared" ref="C12:C31" si="4">(B12)+($H$4)+(($H$5)*((Q13*$E$6)/($B$6)))</f>
        <v>11.295007524960337</v>
      </c>
      <c r="D12" s="200">
        <f t="shared" ref="D12:D31" si="5">$E$5</f>
        <v>11.87</v>
      </c>
      <c r="E12" s="205">
        <f>'Curvas de Bojean'!$C63*(B12/$B$5)^4+'Curvas de Bojean'!$D63*(B12/$B$5)^3+'Curvas de Bojean'!$E63*(B12/$B$5)^2+'Curvas de Bojean'!$F63*(B12/$B$5)</f>
        <v>0.12923319229386798</v>
      </c>
      <c r="F12" s="205">
        <f>'Curvas de Bojean'!$C63*(C12/$B$5)^4+'Curvas de Bojean'!$D63*(C12/$B$5)^3+'Curvas de Bojean'!$E63*(C12/$B$5)^2+'Curvas de Bojean'!$F63*(C12/$B$5)</f>
        <v>0.15451564289482314</v>
      </c>
      <c r="G12" s="205">
        <f>'Curvas de Bojean'!$C63*(D12/$B$5)^4+'Curvas de Bojean'!$D63*(D12/$B$5)^3+'Curvas de Bojean'!$E63*(D12/$B$5)^2+'Curvas de Bojean'!$F63*(D12/$B$5)</f>
        <v>0.17534893770074358</v>
      </c>
      <c r="H12" s="200">
        <f t="shared" si="0"/>
        <v>45.776411072644073</v>
      </c>
      <c r="I12" s="200">
        <f>$K$7*F12</f>
        <v>54.731849153918304</v>
      </c>
      <c r="J12" s="200">
        <f t="shared" si="2"/>
        <v>62.111326903448798</v>
      </c>
      <c r="K12" s="232">
        <v>8</v>
      </c>
      <c r="P12" s="215">
        <v>0</v>
      </c>
      <c r="Q12" s="205">
        <v>0</v>
      </c>
      <c r="R12" s="200">
        <f t="shared" ref="R12:R32" si="6">H11</f>
        <v>4.7915749073746818</v>
      </c>
      <c r="S12" s="205">
        <f>R12*Q12</f>
        <v>0</v>
      </c>
      <c r="T12" s="200">
        <f t="shared" ref="T12:T32" si="7">J11</f>
        <v>10.806366407531414</v>
      </c>
      <c r="U12" s="200">
        <f>T12-R12</f>
        <v>6.0147915001567318</v>
      </c>
      <c r="V12" s="205">
        <f>U12*Q12</f>
        <v>0</v>
      </c>
      <c r="W12" s="205">
        <f>V12*Q12</f>
        <v>0</v>
      </c>
      <c r="X12" s="205">
        <f>($H$4/$H$6)+($H$5/$H$6)*(Q12/20)</f>
        <v>0.59325238117278445</v>
      </c>
      <c r="Y12" s="205">
        <f>U12*X12</f>
        <v>3.5682893797258055</v>
      </c>
      <c r="Z12" s="205">
        <f>R12+Y12</f>
        <v>8.3598642871004873</v>
      </c>
      <c r="AA12" s="216">
        <f>Z12*Q12</f>
        <v>0</v>
      </c>
    </row>
    <row r="13" spans="1:27" x14ac:dyDescent="0.35">
      <c r="A13" s="215">
        <v>2</v>
      </c>
      <c r="B13" s="205">
        <f t="shared" si="3"/>
        <v>10.5</v>
      </c>
      <c r="C13" s="234">
        <f t="shared" si="4"/>
        <v>11.277259287713958</v>
      </c>
      <c r="D13" s="200">
        <f t="shared" si="5"/>
        <v>11.87</v>
      </c>
      <c r="E13" s="205">
        <f>'Curvas de Bojean'!$C64*(B13/$B$5)^4+'Curvas de Bojean'!$D64*(B13/$B$5)^3+'Curvas de Bojean'!$E64*(B13/$B$5)^2+'Curvas de Bojean'!$F64*(B13/$B$5)</f>
        <v>0.290982709025292</v>
      </c>
      <c r="F13" s="205">
        <f>'Curvas de Bojean'!$C64*(C13/$B$5)^4+'Curvas de Bojean'!$D64*(C13/$B$5)^3+'Curvas de Bojean'!$E64*(C13/$B$5)^2+'Curvas de Bojean'!$F64*(C13/$B$5)</f>
        <v>0.32947261986791954</v>
      </c>
      <c r="G13" s="205">
        <f>'Curvas de Bojean'!$C64*(D13/$B$5)^4+'Curvas de Bojean'!$D64*(D13/$B$5)^3+'Curvas de Bojean'!$E64*(D13/$B$5)^2+'Curvas de Bojean'!$F64*(D13/$B$5)</f>
        <v>0.36080631738183871</v>
      </c>
      <c r="H13" s="200">
        <f t="shared" si="0"/>
        <v>103.07061109412351</v>
      </c>
      <c r="I13" s="200">
        <f t="shared" si="1"/>
        <v>116.7043374581293</v>
      </c>
      <c r="J13" s="200">
        <f t="shared" si="2"/>
        <v>127.80322151696647</v>
      </c>
      <c r="K13" s="232">
        <v>8</v>
      </c>
      <c r="M13" s="221" t="s">
        <v>488</v>
      </c>
      <c r="N13" s="237">
        <f>1.025*E6*(SUM(Z13:Z31)+Z12/2+Z32/2)</f>
        <v>41889.562951920219</v>
      </c>
      <c r="P13" s="215">
        <v>1</v>
      </c>
      <c r="Q13" s="205">
        <v>1</v>
      </c>
      <c r="R13" s="205">
        <f t="shared" si="6"/>
        <v>45.776411072644073</v>
      </c>
      <c r="S13" s="205">
        <f>R13*Q13</f>
        <v>45.776411072644073</v>
      </c>
      <c r="T13" s="200">
        <f t="shared" si="7"/>
        <v>62.111326903448798</v>
      </c>
      <c r="U13" s="205">
        <f t="shared" ref="U13:U31" si="8">T13-R13</f>
        <v>16.334915830804725</v>
      </c>
      <c r="V13" s="205">
        <f>U13*Q13</f>
        <v>16.334915830804725</v>
      </c>
      <c r="W13" s="205">
        <f t="shared" ref="W13:W31" si="9">V13*Q13</f>
        <v>16.334915830804725</v>
      </c>
      <c r="X13" s="205">
        <f>($H$4/$H$6)+($H$5/$H$6)*(Q13/20)</f>
        <v>0.58029746347469813</v>
      </c>
      <c r="Y13" s="205">
        <f t="shared" ref="Y13:Y31" si="10">U13*X13</f>
        <v>9.4791102226886732</v>
      </c>
      <c r="Z13" s="205">
        <f t="shared" ref="Z13:Z31" si="11">R13+Y13</f>
        <v>55.255521295332748</v>
      </c>
      <c r="AA13" s="216">
        <f t="shared" ref="AA13:AA31" si="12">Z13*Q13</f>
        <v>55.255521295332748</v>
      </c>
    </row>
    <row r="14" spans="1:27" x14ac:dyDescent="0.35">
      <c r="A14" s="215">
        <v>3</v>
      </c>
      <c r="B14" s="205">
        <f t="shared" si="3"/>
        <v>10.5</v>
      </c>
      <c r="C14" s="234">
        <f t="shared" si="4"/>
        <v>11.25951105046758</v>
      </c>
      <c r="D14" s="200">
        <f t="shared" si="5"/>
        <v>11.87</v>
      </c>
      <c r="E14" s="205">
        <f>'Curvas de Bojean'!$C65*(B14/$B$5)^4+'Curvas de Bojean'!$D65*(B14/$B$5)^3+'Curvas de Bojean'!$E65*(B14/$B$5)^2+'Curvas de Bojean'!$F65*(B14/$B$5)</f>
        <v>0.44823127887962266</v>
      </c>
      <c r="F14" s="205">
        <f>'Curvas de Bojean'!$C65*(C14/$B$5)^4+'Curvas de Bojean'!$D65*(C14/$B$5)^3+'Curvas de Bojean'!$E65*(C14/$B$5)^2+'Curvas de Bojean'!$F65*(C14/$B$5)</f>
        <v>0.49529835429385954</v>
      </c>
      <c r="G14" s="205">
        <f>'Curvas de Bojean'!$C65*(D14/$B$5)^4+'Curvas de Bojean'!$D65*(D14/$B$5)^3+'Curvas de Bojean'!$E65*(D14/$B$5)^2+'Curvas de Bojean'!$F65*(D14/$B$5)</f>
        <v>0.53437454954691455</v>
      </c>
      <c r="H14" s="200">
        <f t="shared" si="0"/>
        <v>158.77050557532468</v>
      </c>
      <c r="I14" s="200">
        <f t="shared" si="1"/>
        <v>175.44239732314989</v>
      </c>
      <c r="J14" s="200">
        <f t="shared" si="2"/>
        <v>189.28379476376412</v>
      </c>
      <c r="K14" s="232">
        <v>8</v>
      </c>
      <c r="M14" s="221" t="s">
        <v>484</v>
      </c>
      <c r="N14" s="200">
        <f ca="1">'DW + LW'!E49</f>
        <v>41889.563078013125</v>
      </c>
      <c r="P14" s="215">
        <v>2</v>
      </c>
      <c r="Q14" s="205">
        <v>2</v>
      </c>
      <c r="R14" s="205">
        <f t="shared" si="6"/>
        <v>103.07061109412351</v>
      </c>
      <c r="S14" s="205">
        <f t="shared" ref="S14:S31" si="13">R14*Q14</f>
        <v>206.14122218824701</v>
      </c>
      <c r="T14" s="205">
        <f t="shared" si="7"/>
        <v>127.80322151696647</v>
      </c>
      <c r="U14" s="205">
        <f t="shared" si="8"/>
        <v>24.732610422842967</v>
      </c>
      <c r="V14" s="205">
        <f t="shared" ref="V14:V31" si="14">U14*Q14</f>
        <v>49.465220845685934</v>
      </c>
      <c r="W14" s="205">
        <f t="shared" si="9"/>
        <v>98.930441691371868</v>
      </c>
      <c r="X14" s="205">
        <f t="shared" ref="X14:X32" si="15">($H$4/$H$6)+($H$5/$H$6)*(Q14/20)</f>
        <v>0.56734254577661192</v>
      </c>
      <c r="Y14" s="205">
        <f t="shared" si="10"/>
        <v>14.031862160996894</v>
      </c>
      <c r="Z14" s="205">
        <f t="shared" si="11"/>
        <v>117.1024732551204</v>
      </c>
      <c r="AA14" s="216">
        <f t="shared" si="12"/>
        <v>234.2049465102408</v>
      </c>
    </row>
    <row r="15" spans="1:27" x14ac:dyDescent="0.35">
      <c r="A15" s="215">
        <v>4</v>
      </c>
      <c r="B15" s="205">
        <f t="shared" si="3"/>
        <v>10.5</v>
      </c>
      <c r="C15" s="234">
        <f t="shared" si="4"/>
        <v>11.241762813221202</v>
      </c>
      <c r="D15" s="200">
        <f t="shared" si="5"/>
        <v>11.87</v>
      </c>
      <c r="E15" s="205">
        <f>'Curvas de Bojean'!$C66*(B15/$B$5)^4+'Curvas de Bojean'!$D66*(B15/$B$5)^3+'Curvas de Bojean'!$E66*(B15/$B$5)^2+'Curvas de Bojean'!$F66*(B15/$B$5)</f>
        <v>0.58092987243411565</v>
      </c>
      <c r="F15" s="205">
        <f>'Curvas de Bojean'!$C66*(C15/$B$5)^4+'Curvas de Bojean'!$D66*(C15/$B$5)^3+'Curvas de Bojean'!$E66*(C15/$B$5)^2+'Curvas de Bojean'!$F66*(C15/$B$5)</f>
        <v>0.63226693861311445</v>
      </c>
      <c r="G15" s="205">
        <f>'Curvas de Bojean'!$C66*(D15/$B$5)^4+'Curvas de Bojean'!$D66*(D15/$B$5)^3+'Curvas de Bojean'!$E66*(D15/$B$5)^2+'Curvas de Bojean'!$F66*(D15/$B$5)</f>
        <v>0.6763537991104881</v>
      </c>
      <c r="H15" s="200">
        <f t="shared" si="0"/>
        <v>205.77441578980924</v>
      </c>
      <c r="I15" s="200">
        <f t="shared" si="1"/>
        <v>223.95880482300416</v>
      </c>
      <c r="J15" s="200">
        <f t="shared" si="2"/>
        <v>239.57505799456533</v>
      </c>
      <c r="K15" s="232">
        <v>8</v>
      </c>
      <c r="M15" s="221" t="s">
        <v>95</v>
      </c>
      <c r="N15" s="200">
        <f ca="1">ABS(N13-N14)</f>
        <v>1.2609290570253506E-4</v>
      </c>
      <c r="P15" s="215">
        <v>3</v>
      </c>
      <c r="Q15" s="205">
        <v>3</v>
      </c>
      <c r="R15" s="205">
        <f t="shared" si="6"/>
        <v>158.77050557532468</v>
      </c>
      <c r="S15" s="205">
        <f t="shared" si="13"/>
        <v>476.311516725974</v>
      </c>
      <c r="T15" s="205">
        <f t="shared" si="7"/>
        <v>189.28379476376412</v>
      </c>
      <c r="U15" s="205">
        <f t="shared" si="8"/>
        <v>30.513289188439444</v>
      </c>
      <c r="V15" s="205">
        <f t="shared" si="14"/>
        <v>91.539867565318332</v>
      </c>
      <c r="W15" s="205">
        <f t="shared" si="9"/>
        <v>274.619602695955</v>
      </c>
      <c r="X15" s="205">
        <f t="shared" si="15"/>
        <v>0.5543876280785256</v>
      </c>
      <c r="Y15" s="205">
        <f t="shared" si="10"/>
        <v>16.916190018053062</v>
      </c>
      <c r="Z15" s="205">
        <f>R15+Y15</f>
        <v>175.68669559337775</v>
      </c>
      <c r="AA15" s="216">
        <f t="shared" si="12"/>
        <v>527.06008678013325</v>
      </c>
    </row>
    <row r="16" spans="1:27" x14ac:dyDescent="0.35">
      <c r="A16" s="215">
        <v>5</v>
      </c>
      <c r="B16" s="205">
        <f t="shared" si="3"/>
        <v>10.5</v>
      </c>
      <c r="C16" s="234">
        <f t="shared" si="4"/>
        <v>11.224014575974824</v>
      </c>
      <c r="D16" s="200">
        <f t="shared" si="5"/>
        <v>11.87</v>
      </c>
      <c r="E16" s="205">
        <f>'Curvas de Bojean'!$C67*(B16/$B$5)^4+'Curvas de Bojean'!$D67*(B16/$B$5)^3+'Curvas de Bojean'!$E67*(B16/$B$5)^2+'Curvas de Bojean'!$F67*(B16/$B$5)</f>
        <v>0.67719993031982284</v>
      </c>
      <c r="F16" s="205">
        <f>'Curvas de Bojean'!$C67*(C16/$B$5)^4+'Curvas de Bojean'!$D67*(C16/$B$5)^3+'Curvas de Bojean'!$E67*(C16/$B$5)^2+'Curvas de Bojean'!$F67*(C16/$B$5)</f>
        <v>0.72964794213088335</v>
      </c>
      <c r="G16" s="205">
        <f>'Curvas de Bojean'!$C67*(D16/$B$5)^4+'Curvas de Bojean'!$D67*(D16/$B$5)^3+'Curvas de Bojean'!$E67*(D16/$B$5)^2+'Curvas de Bojean'!$F67*(D16/$B$5)</f>
        <v>0.776656498605097</v>
      </c>
      <c r="H16" s="200">
        <f t="shared" si="0"/>
        <v>239.87477085758758</v>
      </c>
      <c r="I16" s="200">
        <f t="shared" si="1"/>
        <v>258.45267415000603</v>
      </c>
      <c r="J16" s="200">
        <f t="shared" si="2"/>
        <v>275.10383757713834</v>
      </c>
      <c r="K16" s="232">
        <v>8</v>
      </c>
      <c r="M16" s="221" t="s">
        <v>514</v>
      </c>
      <c r="N16" s="223">
        <f ca="1">N15/N14</f>
        <v>3.010127020606676E-9</v>
      </c>
      <c r="P16" s="215">
        <v>4</v>
      </c>
      <c r="Q16" s="205">
        <v>4</v>
      </c>
      <c r="R16" s="205">
        <f t="shared" si="6"/>
        <v>205.77441578980924</v>
      </c>
      <c r="S16" s="205">
        <f t="shared" si="13"/>
        <v>823.09766315923696</v>
      </c>
      <c r="T16" s="205">
        <f t="shared" si="7"/>
        <v>239.57505799456533</v>
      </c>
      <c r="U16" s="205">
        <f t="shared" si="8"/>
        <v>33.800642204756087</v>
      </c>
      <c r="V16" s="205">
        <f t="shared" si="14"/>
        <v>135.20256881902435</v>
      </c>
      <c r="W16" s="205">
        <f t="shared" si="9"/>
        <v>540.8102752760974</v>
      </c>
      <c r="X16" s="205">
        <f t="shared" si="15"/>
        <v>0.54143271038043939</v>
      </c>
      <c r="Y16" s="205">
        <f t="shared" si="10"/>
        <v>18.300773321520559</v>
      </c>
      <c r="Z16" s="205">
        <f t="shared" si="11"/>
        <v>224.07518911132979</v>
      </c>
      <c r="AA16" s="216">
        <f t="shared" si="12"/>
        <v>896.30075644531917</v>
      </c>
    </row>
    <row r="17" spans="1:27" x14ac:dyDescent="0.35">
      <c r="A17" s="215">
        <v>6</v>
      </c>
      <c r="B17" s="205">
        <f t="shared" si="3"/>
        <v>10.5</v>
      </c>
      <c r="C17" s="234">
        <f t="shared" si="4"/>
        <v>11.206266338728446</v>
      </c>
      <c r="D17" s="200">
        <f t="shared" si="5"/>
        <v>11.87</v>
      </c>
      <c r="E17" s="205">
        <f>'Curvas de Bojean'!$C68*(B17/$B$5)^4+'Curvas de Bojean'!$D68*(B17/$B$5)^3+'Curvas de Bojean'!$E68*(B17/$B$5)^2+'Curvas de Bojean'!$F68*(B17/$B$5)</f>
        <v>0.73371390005925785</v>
      </c>
      <c r="F17" s="205">
        <f>'Curvas de Bojean'!$C68*(C17/$B$5)^4+'Curvas de Bojean'!$D68*(C17/$B$5)^3+'Curvas de Bojean'!$E68*(C17/$B$5)^2+'Curvas de Bojean'!$F68*(C17/$B$5)</f>
        <v>0.78534326771955465</v>
      </c>
      <c r="G17" s="205">
        <f>'Curvas de Bojean'!$C68*(D17/$B$5)^4+'Curvas de Bojean'!$D68*(D17/$B$5)^3+'Curvas de Bojean'!$E68*(D17/$B$5)^2+'Curvas de Bojean'!$F68*(D17/$B$5)</f>
        <v>0.83395350466099627</v>
      </c>
      <c r="H17" s="200">
        <f t="shared" si="0"/>
        <v>259.89289982446059</v>
      </c>
      <c r="I17" s="200">
        <f t="shared" si="1"/>
        <v>278.18082659844436</v>
      </c>
      <c r="J17" s="200">
        <f t="shared" si="2"/>
        <v>295.39933021251659</v>
      </c>
      <c r="K17" s="232">
        <v>8</v>
      </c>
      <c r="N17" s="21"/>
      <c r="P17" s="215">
        <v>5</v>
      </c>
      <c r="Q17" s="205">
        <v>5</v>
      </c>
      <c r="R17" s="205">
        <f t="shared" si="6"/>
        <v>239.87477085758758</v>
      </c>
      <c r="S17" s="205">
        <f t="shared" si="13"/>
        <v>1199.3738542879378</v>
      </c>
      <c r="T17" s="205">
        <f t="shared" si="7"/>
        <v>275.10383757713834</v>
      </c>
      <c r="U17" s="205">
        <f t="shared" si="8"/>
        <v>35.229066719550758</v>
      </c>
      <c r="V17" s="205">
        <f t="shared" si="14"/>
        <v>176.14533359775379</v>
      </c>
      <c r="W17" s="205">
        <f t="shared" si="9"/>
        <v>880.7266679887689</v>
      </c>
      <c r="X17" s="205">
        <f t="shared" si="15"/>
        <v>0.52847779268235306</v>
      </c>
      <c r="Y17" s="205">
        <f t="shared" si="10"/>
        <v>18.61777941820753</v>
      </c>
      <c r="Z17" s="205">
        <f t="shared" si="11"/>
        <v>258.49255027579511</v>
      </c>
      <c r="AA17" s="216">
        <f t="shared" si="12"/>
        <v>1292.4627513789756</v>
      </c>
    </row>
    <row r="18" spans="1:27" x14ac:dyDescent="0.35">
      <c r="A18" s="215">
        <v>7</v>
      </c>
      <c r="B18" s="205">
        <f t="shared" si="3"/>
        <v>10.5</v>
      </c>
      <c r="C18" s="234">
        <f t="shared" si="4"/>
        <v>11.188518101482067</v>
      </c>
      <c r="D18" s="200">
        <f t="shared" si="5"/>
        <v>11.87</v>
      </c>
      <c r="E18" s="205">
        <f>'Curvas de Bojean'!$C69*(B18/$B$5)^4+'Curvas de Bojean'!$D69*(B18/$B$5)^3+'Curvas de Bojean'!$E69*(B18/$B$5)^2+'Curvas de Bojean'!$F69*(B18/$B$5)</f>
        <v>0.7582705154273166</v>
      </c>
      <c r="F18" s="205">
        <f>'Curvas de Bojean'!$C69*(C18/$B$5)^4+'Curvas de Bojean'!$D69*(C18/$B$5)^3+'Curvas de Bojean'!$E69*(C18/$B$5)^2+'Curvas de Bojean'!$F69*(C18/$B$5)</f>
        <v>0.80874094979576872</v>
      </c>
      <c r="G18" s="205">
        <f>'Curvas de Bojean'!$C69*(D18/$B$5)^4+'Curvas de Bojean'!$D69*(D18/$B$5)^3+'Curvas de Bojean'!$E69*(D18/$B$5)^2+'Curvas de Bojean'!$F69*(D18/$B$5)</f>
        <v>0.85876047666240707</v>
      </c>
      <c r="H18" s="200">
        <f t="shared" si="0"/>
        <v>268.59123575262447</v>
      </c>
      <c r="I18" s="200">
        <f t="shared" si="1"/>
        <v>286.46865029030431</v>
      </c>
      <c r="J18" s="200">
        <f t="shared" si="2"/>
        <v>304.18634636253114</v>
      </c>
      <c r="K18" s="232">
        <v>8</v>
      </c>
      <c r="N18" s="21"/>
      <c r="P18" s="215">
        <v>6</v>
      </c>
      <c r="Q18" s="205">
        <v>6</v>
      </c>
      <c r="R18" s="205">
        <f t="shared" si="6"/>
        <v>259.89289982446059</v>
      </c>
      <c r="S18" s="205">
        <f t="shared" si="13"/>
        <v>1559.3573989467636</v>
      </c>
      <c r="T18" s="205">
        <f t="shared" si="7"/>
        <v>295.39933021251659</v>
      </c>
      <c r="U18" s="205">
        <f t="shared" si="8"/>
        <v>35.506430388056003</v>
      </c>
      <c r="V18" s="205">
        <f t="shared" si="14"/>
        <v>213.03858232833602</v>
      </c>
      <c r="W18" s="205">
        <f t="shared" si="9"/>
        <v>1278.2314939700161</v>
      </c>
      <c r="X18" s="205">
        <f t="shared" si="15"/>
        <v>0.51552287498426674</v>
      </c>
      <c r="Y18" s="205">
        <f t="shared" si="10"/>
        <v>18.304377074079365</v>
      </c>
      <c r="Z18" s="205">
        <f t="shared" si="11"/>
        <v>278.19727689853994</v>
      </c>
      <c r="AA18" s="216">
        <f t="shared" si="12"/>
        <v>1669.1836613912396</v>
      </c>
    </row>
    <row r="19" spans="1:27" x14ac:dyDescent="0.35">
      <c r="A19" s="215">
        <v>8</v>
      </c>
      <c r="B19" s="205">
        <f t="shared" si="3"/>
        <v>10.5</v>
      </c>
      <c r="C19" s="234">
        <f t="shared" si="4"/>
        <v>11.170769864235689</v>
      </c>
      <c r="D19" s="200">
        <f t="shared" si="5"/>
        <v>11.87</v>
      </c>
      <c r="E19" s="205">
        <f>'Curvas de Bojean'!$C70*(B19/$B$5)^4+'Curvas de Bojean'!$D70*(B19/$B$5)^3+'Curvas de Bojean'!$E70*(B19/$B$5)^2+'Curvas de Bojean'!$F70*(B19/$B$5)</f>
        <v>0.76406372859403826</v>
      </c>
      <c r="F19" s="205">
        <f>'Curvas de Bojean'!$C70*(C19/$B$5)^4+'Curvas de Bojean'!$D70*(C19/$B$5)^3+'Curvas de Bojean'!$E70*(C19/$B$5)^2+'Curvas de Bojean'!$F70*(C19/$B$5)</f>
        <v>0.81318940142065976</v>
      </c>
      <c r="G19" s="205">
        <f>'Curvas de Bojean'!$C70*(D19/$B$5)^4+'Curvas de Bojean'!$D70*(D19/$B$5)^3+'Curvas de Bojean'!$E70*(D19/$B$5)^2+'Curvas de Bojean'!$F70*(D19/$B$5)</f>
        <v>0.86448350783298911</v>
      </c>
      <c r="H19" s="200">
        <f t="shared" si="0"/>
        <v>270.64328215528758</v>
      </c>
      <c r="I19" s="200">
        <f t="shared" si="1"/>
        <v>288.04436119400719</v>
      </c>
      <c r="J19" s="200">
        <f t="shared" si="2"/>
        <v>306.21353320823243</v>
      </c>
      <c r="K19" s="232">
        <v>8</v>
      </c>
      <c r="M19" s="221" t="s">
        <v>1</v>
      </c>
      <c r="N19" s="200">
        <f>E6*((SUM(AA12:AA32))/(SUM(Z12:Z32)))-B6/2</f>
        <v>1.9892696133675258</v>
      </c>
      <c r="P19" s="215">
        <v>7</v>
      </c>
      <c r="Q19" s="205">
        <v>7</v>
      </c>
      <c r="R19" s="205">
        <f t="shared" si="6"/>
        <v>268.59123575262447</v>
      </c>
      <c r="S19" s="205">
        <f t="shared" si="13"/>
        <v>1880.1386502683713</v>
      </c>
      <c r="T19" s="205">
        <f t="shared" si="7"/>
        <v>304.18634636253114</v>
      </c>
      <c r="U19" s="205">
        <f t="shared" si="8"/>
        <v>35.595110609906669</v>
      </c>
      <c r="V19" s="205">
        <f t="shared" si="14"/>
        <v>249.16577426934668</v>
      </c>
      <c r="W19" s="205">
        <f t="shared" si="9"/>
        <v>1744.1604198854268</v>
      </c>
      <c r="X19" s="205">
        <f t="shared" si="15"/>
        <v>0.50256795728618053</v>
      </c>
      <c r="Y19" s="205">
        <f t="shared" si="10"/>
        <v>17.888962028596445</v>
      </c>
      <c r="Z19" s="205">
        <f t="shared" si="11"/>
        <v>286.48019778122091</v>
      </c>
      <c r="AA19" s="216">
        <f t="shared" si="12"/>
        <v>2005.3613844685465</v>
      </c>
    </row>
    <row r="20" spans="1:27" x14ac:dyDescent="0.35">
      <c r="A20" s="215">
        <v>9</v>
      </c>
      <c r="B20" s="205">
        <f t="shared" si="3"/>
        <v>10.5</v>
      </c>
      <c r="C20" s="234">
        <f t="shared" si="4"/>
        <v>11.153021626989311</v>
      </c>
      <c r="D20" s="200">
        <f t="shared" si="5"/>
        <v>11.87</v>
      </c>
      <c r="E20" s="205">
        <f>'Curvas de Bojean'!$C71*(B20/$B$5)^4+'Curvas de Bojean'!$D71*(B20/$B$5)^3+'Curvas de Bojean'!$E71*(B20/$B$5)^2+'Curvas de Bojean'!$F71*(B20/$B$5)</f>
        <v>0.76432361426296347</v>
      </c>
      <c r="F20" s="205">
        <f>'Curvas de Bojean'!$C71*(C20/$B$5)^4+'Curvas de Bojean'!$D71*(C20/$B$5)^3+'Curvas de Bojean'!$E71*(C20/$B$5)^2+'Curvas de Bojean'!$F71*(C20/$B$5)</f>
        <v>0.81214563009537244</v>
      </c>
      <c r="G20" s="205">
        <f>'Curvas de Bojean'!$C71*(D20/$B$5)^4+'Curvas de Bojean'!$D71*(D20/$B$5)^3+'Curvas de Bojean'!$E71*(D20/$B$5)^2+'Curvas de Bojean'!$F71*(D20/$B$5)</f>
        <v>0.86473847493770517</v>
      </c>
      <c r="H20" s="200">
        <f t="shared" si="0"/>
        <v>270.73533771006765</v>
      </c>
      <c r="I20" s="200">
        <f t="shared" si="1"/>
        <v>287.67464112129136</v>
      </c>
      <c r="J20" s="200">
        <f t="shared" si="2"/>
        <v>306.3038465309038</v>
      </c>
      <c r="K20" s="232">
        <v>8</v>
      </c>
      <c r="M20" s="221" t="s">
        <v>515</v>
      </c>
      <c r="N20" s="200">
        <f ca="1">'DW + LW'!O47</f>
        <v>1.9892695911520033</v>
      </c>
      <c r="P20" s="215">
        <v>8</v>
      </c>
      <c r="Q20" s="205">
        <v>8</v>
      </c>
      <c r="R20" s="205">
        <f t="shared" si="6"/>
        <v>270.64328215528758</v>
      </c>
      <c r="S20" s="205">
        <f t="shared" si="13"/>
        <v>2165.1462572423006</v>
      </c>
      <c r="T20" s="205">
        <f t="shared" si="7"/>
        <v>306.21353320823243</v>
      </c>
      <c r="U20" s="205">
        <f t="shared" si="8"/>
        <v>35.570251052944855</v>
      </c>
      <c r="V20" s="205">
        <f t="shared" si="14"/>
        <v>284.56200842355884</v>
      </c>
      <c r="W20" s="205">
        <f t="shared" si="9"/>
        <v>2276.4960673884707</v>
      </c>
      <c r="X20" s="205">
        <f t="shared" si="15"/>
        <v>0.48961303958809421</v>
      </c>
      <c r="Y20" s="205">
        <f t="shared" si="10"/>
        <v>17.415658736943939</v>
      </c>
      <c r="Z20" s="205">
        <f t="shared" si="11"/>
        <v>288.05894089223153</v>
      </c>
      <c r="AA20" s="216">
        <f t="shared" si="12"/>
        <v>2304.4715271378523</v>
      </c>
    </row>
    <row r="21" spans="1:27" x14ac:dyDescent="0.35">
      <c r="A21" s="215">
        <v>10</v>
      </c>
      <c r="B21" s="205">
        <f t="shared" si="3"/>
        <v>10.5</v>
      </c>
      <c r="C21" s="234">
        <f t="shared" si="4"/>
        <v>11.135273389742933</v>
      </c>
      <c r="D21" s="200">
        <f t="shared" si="5"/>
        <v>11.87</v>
      </c>
      <c r="E21" s="205">
        <f>'Curvas de Bojean'!$C72*(B21/$B$5)^4+'Curvas de Bojean'!$D72*(B21/$B$5)^3+'Curvas de Bojean'!$E72*(B21/$B$5)^2+'Curvas de Bojean'!$F72*(B21/$B$5)</f>
        <v>0.76458349993188879</v>
      </c>
      <c r="F21" s="205">
        <f>'Curvas de Bojean'!$C72*(C21/$B$5)^4+'Curvas de Bojean'!$D72*(C21/$B$5)^3+'Curvas de Bojean'!$E72*(C21/$B$5)^2+'Curvas de Bojean'!$F72*(C21/$B$5)</f>
        <v>0.81110205091251186</v>
      </c>
      <c r="G21" s="205">
        <f>'Curvas de Bojean'!$C72*(D21/$B$5)^4+'Curvas de Bojean'!$D72*(D21/$B$5)^3+'Curvas de Bojean'!$E72*(D21/$B$5)^2+'Curvas de Bojean'!$F72*(D21/$B$5)</f>
        <v>0.86499344204242157</v>
      </c>
      <c r="H21" s="200">
        <f t="shared" si="0"/>
        <v>270.82739326484773</v>
      </c>
      <c r="I21" s="200">
        <f t="shared" si="1"/>
        <v>287.304989108418</v>
      </c>
      <c r="J21" s="200">
        <f t="shared" si="2"/>
        <v>306.39415985357527</v>
      </c>
      <c r="K21" s="232">
        <v>8</v>
      </c>
      <c r="M21" s="221" t="s">
        <v>516</v>
      </c>
      <c r="N21" s="200">
        <f ca="1">(N19-N20)</f>
        <v>2.2215522532675891E-8</v>
      </c>
      <c r="P21" s="215">
        <v>9</v>
      </c>
      <c r="Q21" s="205">
        <v>9</v>
      </c>
      <c r="R21" s="205">
        <f t="shared" si="6"/>
        <v>270.73533771006765</v>
      </c>
      <c r="S21" s="205">
        <f t="shared" si="13"/>
        <v>2436.6180393906088</v>
      </c>
      <c r="T21" s="205">
        <f t="shared" si="7"/>
        <v>306.3038465309038</v>
      </c>
      <c r="U21" s="205">
        <f t="shared" si="8"/>
        <v>35.568508820836144</v>
      </c>
      <c r="V21" s="205">
        <f t="shared" si="14"/>
        <v>320.11657938752529</v>
      </c>
      <c r="W21" s="205">
        <f t="shared" si="9"/>
        <v>2881.0492144877276</v>
      </c>
      <c r="X21" s="205">
        <f t="shared" si="15"/>
        <v>0.47665812189000795</v>
      </c>
      <c r="Y21" s="205">
        <f t="shared" si="10"/>
        <v>16.954018612967936</v>
      </c>
      <c r="Z21" s="205">
        <f t="shared" si="11"/>
        <v>287.68935632303561</v>
      </c>
      <c r="AA21" s="216">
        <f t="shared" si="12"/>
        <v>2589.2042069073204</v>
      </c>
    </row>
    <row r="22" spans="1:27" x14ac:dyDescent="0.35">
      <c r="A22" s="215">
        <v>11</v>
      </c>
      <c r="B22" s="205">
        <f t="shared" si="3"/>
        <v>10.5</v>
      </c>
      <c r="C22" s="234">
        <f t="shared" si="4"/>
        <v>11.117525152496555</v>
      </c>
      <c r="D22" s="200">
        <f t="shared" si="5"/>
        <v>11.87</v>
      </c>
      <c r="E22" s="205">
        <f>'Curvas de Bojean'!$C73*(B22/$B$5)^4+'Curvas de Bojean'!$D73*(B22/$B$5)^3+'Curvas de Bojean'!$E73*(B22/$B$5)^2+'Curvas de Bojean'!$F73*(B22/$B$5)</f>
        <v>0.76484338560081433</v>
      </c>
      <c r="F22" s="205">
        <f>'Curvas de Bojean'!$C73*(C22/$B$5)^4+'Curvas de Bojean'!$D73*(C22/$B$5)^3+'Curvas de Bojean'!$E73*(C22/$B$5)^2+'Curvas de Bojean'!$F73*(C22/$B$5)</f>
        <v>0.81005866561140616</v>
      </c>
      <c r="G22" s="205">
        <f>'Curvas de Bojean'!$C73*(D22/$B$5)^4+'Curvas de Bojean'!$D73*(D22/$B$5)^3+'Curvas de Bojean'!$E73*(D22/$B$5)^2+'Curvas de Bojean'!$F73*(D22/$B$5)</f>
        <v>0.86524840914713785</v>
      </c>
      <c r="H22" s="200">
        <f t="shared" si="0"/>
        <v>270.91944881962792</v>
      </c>
      <c r="I22" s="200">
        <f t="shared" si="1"/>
        <v>286.93540577148423</v>
      </c>
      <c r="J22" s="200">
        <f t="shared" si="2"/>
        <v>306.48447317624669</v>
      </c>
      <c r="K22" s="232">
        <v>8</v>
      </c>
      <c r="M22" s="221" t="s">
        <v>514</v>
      </c>
      <c r="N22" s="223">
        <f ca="1">N21/N20</f>
        <v>1.1167678142513951E-8</v>
      </c>
      <c r="P22" s="215">
        <v>10</v>
      </c>
      <c r="Q22" s="205">
        <v>10</v>
      </c>
      <c r="R22" s="205">
        <f t="shared" si="6"/>
        <v>270.82739326484773</v>
      </c>
      <c r="S22" s="205">
        <f t="shared" si="13"/>
        <v>2708.2739326484771</v>
      </c>
      <c r="T22" s="205">
        <f t="shared" si="7"/>
        <v>306.39415985357527</v>
      </c>
      <c r="U22" s="205">
        <f t="shared" si="8"/>
        <v>35.566766588727546</v>
      </c>
      <c r="V22" s="205">
        <f t="shared" si="14"/>
        <v>355.66766588727546</v>
      </c>
      <c r="W22" s="205">
        <f t="shared" si="9"/>
        <v>3556.6766588727546</v>
      </c>
      <c r="X22" s="205">
        <f t="shared" si="15"/>
        <v>0.46370320419192168</v>
      </c>
      <c r="Y22" s="205">
        <f t="shared" si="10"/>
        <v>16.492423629939147</v>
      </c>
      <c r="Z22" s="205">
        <f t="shared" si="11"/>
        <v>287.31981689478687</v>
      </c>
      <c r="AA22" s="216">
        <f t="shared" si="12"/>
        <v>2873.1981689478689</v>
      </c>
    </row>
    <row r="23" spans="1:27" x14ac:dyDescent="0.35">
      <c r="A23" s="215">
        <v>12</v>
      </c>
      <c r="B23" s="205">
        <f t="shared" si="3"/>
        <v>10.5</v>
      </c>
      <c r="C23" s="234">
        <f t="shared" si="4"/>
        <v>11.099776915250176</v>
      </c>
      <c r="D23" s="200">
        <f t="shared" si="5"/>
        <v>11.87</v>
      </c>
      <c r="E23" s="205">
        <f>'Curvas de Bojean'!$C74*(B23/$B$5)^4+'Curvas de Bojean'!$D74*(B23/$B$5)^3+'Curvas de Bojean'!$E74*(B23/$B$5)^2+'Curvas de Bojean'!$F74*(B23/$B$5)</f>
        <v>0.76510327126973943</v>
      </c>
      <c r="F23" s="205">
        <f>'Curvas de Bojean'!$C74*(C23/$B$5)^4+'Curvas de Bojean'!$D74*(C23/$B$5)^3+'Curvas de Bojean'!$E74*(C23/$B$5)^2+'Curvas de Bojean'!$F74*(C23/$B$5)</f>
        <v>0.80901547587809886</v>
      </c>
      <c r="G23" s="205">
        <f>'Curvas de Bojean'!$C74*(D23/$B$5)^4+'Curvas de Bojean'!$D74*(D23/$B$5)^3+'Curvas de Bojean'!$E74*(D23/$B$5)^2+'Curvas de Bojean'!$F74*(D23/$B$5)</f>
        <v>0.86550337625185381</v>
      </c>
      <c r="H23" s="200">
        <f t="shared" si="0"/>
        <v>271.01150437440793</v>
      </c>
      <c r="I23" s="200">
        <f t="shared" si="1"/>
        <v>286.56589170771298</v>
      </c>
      <c r="J23" s="200">
        <f t="shared" si="2"/>
        <v>306.574786498918</v>
      </c>
      <c r="K23" s="232">
        <v>8</v>
      </c>
      <c r="N23" s="21"/>
      <c r="P23" s="215">
        <v>11</v>
      </c>
      <c r="Q23" s="205">
        <v>11</v>
      </c>
      <c r="R23" s="205">
        <f t="shared" si="6"/>
        <v>270.91944881962792</v>
      </c>
      <c r="S23" s="205">
        <f t="shared" si="13"/>
        <v>2980.1139370159071</v>
      </c>
      <c r="T23" s="205">
        <f t="shared" si="7"/>
        <v>306.48447317624669</v>
      </c>
      <c r="U23" s="205">
        <f t="shared" si="8"/>
        <v>35.565024356618778</v>
      </c>
      <c r="V23" s="205">
        <f t="shared" si="14"/>
        <v>391.21526792280656</v>
      </c>
      <c r="W23" s="205">
        <f t="shared" si="9"/>
        <v>4303.3679471508722</v>
      </c>
      <c r="X23" s="205">
        <f t="shared" si="15"/>
        <v>0.45074828649383536</v>
      </c>
      <c r="Y23" s="205">
        <f t="shared" si="10"/>
        <v>16.030873787857434</v>
      </c>
      <c r="Z23" s="205">
        <f t="shared" si="11"/>
        <v>286.95032260748536</v>
      </c>
      <c r="AA23" s="216">
        <f t="shared" si="12"/>
        <v>3156.4535486823388</v>
      </c>
    </row>
    <row r="24" spans="1:27" x14ac:dyDescent="0.35">
      <c r="A24" s="215">
        <v>13</v>
      </c>
      <c r="B24" s="205">
        <f t="shared" si="3"/>
        <v>10.5</v>
      </c>
      <c r="C24" s="234">
        <f t="shared" si="4"/>
        <v>11.082028678003798</v>
      </c>
      <c r="D24" s="200">
        <f t="shared" si="5"/>
        <v>11.87</v>
      </c>
      <c r="E24" s="205">
        <f>'Curvas de Bojean'!$C75*(B24/$B$5)^4+'Curvas de Bojean'!$D75*(B24/$B$5)^3+'Curvas de Bojean'!$E75*(B24/$B$5)^2+'Curvas de Bojean'!$F75*(B24/$B$5)</f>
        <v>0.76262869658666066</v>
      </c>
      <c r="F24" s="205">
        <f>'Curvas de Bojean'!$C75*(C24/$B$5)^4+'Curvas de Bojean'!$D75*(C24/$B$5)^3+'Curvas de Bojean'!$E75*(C24/$B$5)^2+'Curvas de Bojean'!$F75*(C24/$B$5)</f>
        <v>0.80524769629505299</v>
      </c>
      <c r="G24" s="205">
        <f>'Curvas de Bojean'!$C75*(D24/$B$5)^4+'Curvas de Bojean'!$D75*(D24/$B$5)^3+'Curvas de Bojean'!$E75*(D24/$B$5)^2+'Curvas de Bojean'!$F75*(D24/$B$5)</f>
        <v>0.86304060219680734</v>
      </c>
      <c r="H24" s="200">
        <f t="shared" si="0"/>
        <v>270.13497145038184</v>
      </c>
      <c r="I24" s="200">
        <f t="shared" si="1"/>
        <v>285.23128545088986</v>
      </c>
      <c r="J24" s="200">
        <f t="shared" si="2"/>
        <v>305.70243354127774</v>
      </c>
      <c r="K24" s="232">
        <v>8</v>
      </c>
      <c r="N24" s="21"/>
      <c r="P24" s="215">
        <v>12</v>
      </c>
      <c r="Q24" s="205">
        <v>12</v>
      </c>
      <c r="R24" s="205">
        <f t="shared" si="6"/>
        <v>271.01150437440793</v>
      </c>
      <c r="S24" s="205">
        <f t="shared" si="13"/>
        <v>3252.1380524928954</v>
      </c>
      <c r="T24" s="205">
        <f t="shared" si="7"/>
        <v>306.574786498918</v>
      </c>
      <c r="U24" s="205">
        <f t="shared" si="8"/>
        <v>35.563282124510067</v>
      </c>
      <c r="V24" s="205">
        <f t="shared" si="14"/>
        <v>426.75938549412081</v>
      </c>
      <c r="W24" s="205">
        <f t="shared" si="9"/>
        <v>5121.1126259294497</v>
      </c>
      <c r="X24" s="205">
        <f t="shared" si="15"/>
        <v>0.43779336879574915</v>
      </c>
      <c r="Y24" s="205">
        <f t="shared" si="10"/>
        <v>15.56936908672291</v>
      </c>
      <c r="Z24" s="205">
        <f t="shared" si="11"/>
        <v>286.58087346113086</v>
      </c>
      <c r="AA24" s="216">
        <f t="shared" si="12"/>
        <v>3438.9704815335704</v>
      </c>
    </row>
    <row r="25" spans="1:27" x14ac:dyDescent="0.35">
      <c r="A25" s="215">
        <v>14</v>
      </c>
      <c r="B25" s="205">
        <f t="shared" si="3"/>
        <v>10.5</v>
      </c>
      <c r="C25" s="234">
        <f t="shared" si="4"/>
        <v>11.06428044075742</v>
      </c>
      <c r="D25" s="200">
        <f t="shared" si="5"/>
        <v>11.87</v>
      </c>
      <c r="E25" s="205">
        <f>'Curvas de Bojean'!$C76*(B25/$B$5)^4+'Curvas de Bojean'!$D76*(B25/$B$5)^3+'Curvas de Bojean'!$E76*(B25/$B$5)^2+'Curvas de Bojean'!$F76*(B25/$B$5)</f>
        <v>0.75254995599693564</v>
      </c>
      <c r="F25" s="205">
        <f>'Curvas de Bojean'!$C76*(C25/$B$5)^4+'Curvas de Bojean'!$D76*(C25/$B$5)^3+'Curvas de Bojean'!$E76*(C25/$B$5)^2+'Curvas de Bojean'!$F76*(C25/$B$5)</f>
        <v>0.79370752406683753</v>
      </c>
      <c r="G25" s="205">
        <f>'Curvas de Bojean'!$C76*(D25/$B$5)^4+'Curvas de Bojean'!$D76*(D25/$B$5)^3+'Curvas de Bojean'!$E76*(D25/$B$5)^2+'Curvas de Bojean'!$F76*(D25/$B$5)</f>
        <v>0.85257708519622977</v>
      </c>
      <c r="H25" s="200">
        <f t="shared" si="0"/>
        <v>266.56492443582948</v>
      </c>
      <c r="I25" s="200">
        <f t="shared" si="1"/>
        <v>281.14357657059958</v>
      </c>
      <c r="J25" s="200">
        <f t="shared" si="2"/>
        <v>301.99609272447839</v>
      </c>
      <c r="K25" s="232">
        <v>8</v>
      </c>
      <c r="M25" s="221" t="s">
        <v>517</v>
      </c>
      <c r="N25" s="200">
        <f>C11-C31</f>
        <v>0.35496474492756391</v>
      </c>
      <c r="P25" s="215">
        <v>13</v>
      </c>
      <c r="Q25" s="205">
        <v>13</v>
      </c>
      <c r="R25" s="205">
        <f t="shared" si="6"/>
        <v>270.13497145038184</v>
      </c>
      <c r="S25" s="205">
        <f t="shared" si="13"/>
        <v>3511.7546288549638</v>
      </c>
      <c r="T25" s="205">
        <f t="shared" si="7"/>
        <v>305.70243354127774</v>
      </c>
      <c r="U25" s="205">
        <f t="shared" si="8"/>
        <v>35.567462090895901</v>
      </c>
      <c r="V25" s="205">
        <f t="shared" si="14"/>
        <v>462.37700718164672</v>
      </c>
      <c r="W25" s="205">
        <f t="shared" si="9"/>
        <v>6010.9010933614072</v>
      </c>
      <c r="X25" s="205">
        <f t="shared" si="15"/>
        <v>0.42483845109766283</v>
      </c>
      <c r="Y25" s="205">
        <f t="shared" si="10"/>
        <v>15.110425504171054</v>
      </c>
      <c r="Z25" s="205">
        <f t="shared" si="11"/>
        <v>285.24539695455292</v>
      </c>
      <c r="AA25" s="216">
        <f t="shared" si="12"/>
        <v>3708.1901604091881</v>
      </c>
    </row>
    <row r="26" spans="1:27" x14ac:dyDescent="0.35">
      <c r="A26" s="215">
        <v>15</v>
      </c>
      <c r="B26" s="205">
        <f t="shared" si="3"/>
        <v>10.5</v>
      </c>
      <c r="C26" s="234">
        <f t="shared" si="4"/>
        <v>11.046532203511042</v>
      </c>
      <c r="D26" s="200">
        <f t="shared" si="5"/>
        <v>11.87</v>
      </c>
      <c r="E26" s="205">
        <f>'Curvas de Bojean'!$C77*(B26/$B$5)^4+'Curvas de Bojean'!$D77*(B26/$B$5)^3+'Curvas de Bojean'!$E77*(B26/$B$5)^2+'Curvas de Bojean'!$F77*(B26/$B$5)</f>
        <v>0.7263226922793935</v>
      </c>
      <c r="F26" s="205">
        <f>'Curvas de Bojean'!$C77*(C26/$B$5)^4+'Curvas de Bojean'!$D77*(C26/$B$5)^3+'Curvas de Bojean'!$E77*(C26/$B$5)^2+'Curvas de Bojean'!$F77*(C26/$B$5)</f>
        <v>0.76563911566355536</v>
      </c>
      <c r="G26" s="205">
        <f>'Curvas de Bojean'!$C77*(D26/$B$5)^4+'Curvas de Bojean'!$D77*(D26/$B$5)^3+'Curvas de Bojean'!$E77*(D26/$B$5)^2+'Curvas de Bojean'!$F77*(D26/$B$5)</f>
        <v>0.82501560474576763</v>
      </c>
      <c r="H26" s="200">
        <f t="shared" si="0"/>
        <v>257.27481882182599</v>
      </c>
      <c r="I26" s="200">
        <f t="shared" si="1"/>
        <v>271.20130881092228</v>
      </c>
      <c r="J26" s="200">
        <f t="shared" si="2"/>
        <v>292.23338674719315</v>
      </c>
      <c r="K26" s="232">
        <v>8</v>
      </c>
      <c r="P26" s="215">
        <v>14</v>
      </c>
      <c r="Q26" s="205">
        <v>14</v>
      </c>
      <c r="R26" s="205">
        <f t="shared" si="6"/>
        <v>266.56492443582948</v>
      </c>
      <c r="S26" s="205">
        <f t="shared" si="13"/>
        <v>3731.9089421016129</v>
      </c>
      <c r="T26" s="205">
        <f t="shared" si="7"/>
        <v>301.99609272447839</v>
      </c>
      <c r="U26" s="205">
        <f t="shared" si="8"/>
        <v>35.431168288648905</v>
      </c>
      <c r="V26" s="205">
        <f t="shared" si="14"/>
        <v>496.03635604108467</v>
      </c>
      <c r="W26" s="205">
        <f t="shared" si="9"/>
        <v>6944.5089845751854</v>
      </c>
      <c r="X26" s="205">
        <f t="shared" si="15"/>
        <v>0.41188353339957662</v>
      </c>
      <c r="Y26" s="205">
        <f t="shared" si="10"/>
        <v>14.593514787203741</v>
      </c>
      <c r="Z26" s="205">
        <f t="shared" si="11"/>
        <v>281.15843922303321</v>
      </c>
      <c r="AA26" s="216">
        <f t="shared" si="12"/>
        <v>3936.2181491224651</v>
      </c>
    </row>
    <row r="27" spans="1:27" x14ac:dyDescent="0.35">
      <c r="A27" s="215">
        <v>16</v>
      </c>
      <c r="B27" s="205">
        <f t="shared" si="3"/>
        <v>10.5</v>
      </c>
      <c r="C27" s="234">
        <f t="shared" si="4"/>
        <v>11.028783966264664</v>
      </c>
      <c r="D27" s="200">
        <f t="shared" si="5"/>
        <v>11.87</v>
      </c>
      <c r="E27" s="205">
        <f>'Curvas de Bojean'!$C78*(B27/$B$5)^4+'Curvas de Bojean'!$D78*(B27/$B$5)^3+'Curvas de Bojean'!$E78*(B27/$B$5)^2+'Curvas de Bojean'!$F78*(B27/$B$5)</f>
        <v>0.66609098306767323</v>
      </c>
      <c r="F27" s="205">
        <f>'Curvas de Bojean'!$C78*(C27/$B$5)^4+'Curvas de Bojean'!$D78*(C27/$B$5)^3+'Curvas de Bojean'!$E78*(C27/$B$5)^2+'Curvas de Bojean'!$F78*(C27/$B$5)</f>
        <v>0.70213760462548902</v>
      </c>
      <c r="G27" s="205">
        <f>'Curvas de Bojean'!$C78*(D27/$B$5)^4+'Curvas de Bojean'!$D78*(D27/$B$5)^3+'Curvas de Bojean'!$E78*(D27/$B$5)^2+'Curvas de Bojean'!$F78*(D27/$B$5)</f>
        <v>0.75976968607705286</v>
      </c>
      <c r="H27" s="200">
        <f t="shared" si="0"/>
        <v>235.9398085853382</v>
      </c>
      <c r="I27" s="200">
        <f t="shared" si="1"/>
        <v>248.70808380103063</v>
      </c>
      <c r="J27" s="200">
        <f t="shared" si="2"/>
        <v>269.12226536438487</v>
      </c>
      <c r="K27" s="232">
        <v>8</v>
      </c>
      <c r="N27" s="229"/>
      <c r="P27" s="215">
        <v>15</v>
      </c>
      <c r="Q27" s="205">
        <v>15</v>
      </c>
      <c r="R27" s="205">
        <f t="shared" si="6"/>
        <v>257.27481882182599</v>
      </c>
      <c r="S27" s="205">
        <f t="shared" si="13"/>
        <v>3859.1222823273897</v>
      </c>
      <c r="T27" s="205">
        <f t="shared" si="7"/>
        <v>292.23338674719315</v>
      </c>
      <c r="U27" s="205">
        <f t="shared" si="8"/>
        <v>34.958567925367163</v>
      </c>
      <c r="V27" s="205">
        <f t="shared" si="14"/>
        <v>524.3785188805075</v>
      </c>
      <c r="W27" s="205">
        <f t="shared" si="9"/>
        <v>7865.6777832076123</v>
      </c>
      <c r="X27" s="205">
        <f t="shared" si="15"/>
        <v>0.3989286157014903</v>
      </c>
      <c r="Y27" s="205">
        <f t="shared" si="10"/>
        <v>13.945973109373242</v>
      </c>
      <c r="Z27" s="205">
        <f t="shared" si="11"/>
        <v>271.22079193119924</v>
      </c>
      <c r="AA27" s="216">
        <f t="shared" si="12"/>
        <v>4068.3118789679888</v>
      </c>
    </row>
    <row r="28" spans="1:27" x14ac:dyDescent="0.35">
      <c r="A28" s="215">
        <v>17</v>
      </c>
      <c r="B28" s="205">
        <f t="shared" si="3"/>
        <v>10.5</v>
      </c>
      <c r="C28" s="234">
        <f t="shared" si="4"/>
        <v>11.011035729018285</v>
      </c>
      <c r="D28" s="200">
        <f t="shared" si="5"/>
        <v>11.87</v>
      </c>
      <c r="E28" s="205">
        <f>'Curvas de Bojean'!$C79*(B28/$B$5)^4+'Curvas de Bojean'!$D79*(B28/$B$5)^3+'Curvas de Bojean'!$E79*(B28/$B$5)^2+'Curvas de Bojean'!$F79*(B28/$B$5)</f>
        <v>0.56184946679180214</v>
      </c>
      <c r="F28" s="205">
        <f>'Curvas de Bojean'!$C79*(C28/$B$5)^4+'Curvas de Bojean'!$D79*(C28/$B$5)^3+'Curvas de Bojean'!$E79*(C28/$B$5)^2+'Curvas de Bojean'!$F79*(C28/$B$5)</f>
        <v>0.59239736664790954</v>
      </c>
      <c r="G28" s="205">
        <f>'Curvas de Bojean'!$C79*(D28/$B$5)^4+'Curvas de Bojean'!$D79*(D28/$B$5)^3+'Curvas de Bojean'!$E79*(D28/$B$5)^2+'Curvas de Bojean'!$F79*(D28/$B$5)</f>
        <v>0.6442523357248402</v>
      </c>
      <c r="H28" s="200">
        <f t="shared" si="0"/>
        <v>199.01583870437122</v>
      </c>
      <c r="I28" s="200">
        <f t="shared" si="1"/>
        <v>209.83638098455668</v>
      </c>
      <c r="J28" s="200">
        <f t="shared" si="2"/>
        <v>228.20421929676914</v>
      </c>
      <c r="K28" s="232">
        <v>8</v>
      </c>
      <c r="P28" s="215">
        <v>16</v>
      </c>
      <c r="Q28" s="205">
        <v>16</v>
      </c>
      <c r="R28" s="205">
        <f t="shared" si="6"/>
        <v>235.9398085853382</v>
      </c>
      <c r="S28" s="205">
        <f t="shared" si="13"/>
        <v>3775.0369373654112</v>
      </c>
      <c r="T28" s="205">
        <f t="shared" si="7"/>
        <v>269.12226536438487</v>
      </c>
      <c r="U28" s="205">
        <f t="shared" si="8"/>
        <v>33.182456779046674</v>
      </c>
      <c r="V28" s="205">
        <f t="shared" si="14"/>
        <v>530.91930846474679</v>
      </c>
      <c r="W28" s="205">
        <f t="shared" si="9"/>
        <v>8494.7089354359487</v>
      </c>
      <c r="X28" s="205">
        <f t="shared" si="15"/>
        <v>0.38597369800340398</v>
      </c>
      <c r="Y28" s="205">
        <f t="shared" si="10"/>
        <v>12.807555551846766</v>
      </c>
      <c r="Z28" s="205">
        <f t="shared" si="11"/>
        <v>248.74736413718497</v>
      </c>
      <c r="AA28" s="216">
        <f t="shared" si="12"/>
        <v>3979.9578261949596</v>
      </c>
    </row>
    <row r="29" spans="1:27" x14ac:dyDescent="0.35">
      <c r="A29" s="215">
        <v>18</v>
      </c>
      <c r="B29" s="205">
        <f t="shared" si="3"/>
        <v>10.5</v>
      </c>
      <c r="C29" s="234">
        <f t="shared" si="4"/>
        <v>10.993287491771907</v>
      </c>
      <c r="D29" s="200">
        <f t="shared" si="5"/>
        <v>11.87</v>
      </c>
      <c r="E29" s="205">
        <f>'Curvas de Bojean'!$C80*(B29/$B$5)^4+'Curvas de Bojean'!$D80*(B29/$B$5)^3+'Curvas de Bojean'!$E80*(B29/$B$5)^2+'Curvas de Bojean'!$F80*(B29/$B$5)</f>
        <v>0.41713124101470422</v>
      </c>
      <c r="F29" s="205">
        <f>'Curvas de Bojean'!$C80*(C29/$B$5)^4+'Curvas de Bojean'!$D80*(C29/$B$5)^3+'Curvas de Bojean'!$E80*(C29/$B$5)^2+'Curvas de Bojean'!$F80*(C29/$B$5)</f>
        <v>0.43943517002048443</v>
      </c>
      <c r="G29" s="205">
        <f>'Curvas de Bojean'!$C80*(D29/$B$5)^4+'Curvas de Bojean'!$D80*(D29/$B$5)^3+'Curvas de Bojean'!$E80*(D29/$B$5)^2+'Curvas de Bojean'!$F80*(D29/$B$5)</f>
        <v>0.47967251294098706</v>
      </c>
      <c r="H29" s="200">
        <f t="shared" si="0"/>
        <v>147.75438740622445</v>
      </c>
      <c r="I29" s="200">
        <f t="shared" si="1"/>
        <v>155.65478671217048</v>
      </c>
      <c r="J29" s="200">
        <f t="shared" si="2"/>
        <v>169.90748075544278</v>
      </c>
      <c r="K29" s="232">
        <v>8</v>
      </c>
      <c r="P29" s="215">
        <v>17</v>
      </c>
      <c r="Q29" s="205">
        <v>17</v>
      </c>
      <c r="R29" s="205">
        <f t="shared" si="6"/>
        <v>199.01583870437122</v>
      </c>
      <c r="S29" s="205">
        <f t="shared" si="13"/>
        <v>3383.2692579743107</v>
      </c>
      <c r="T29" s="205">
        <f t="shared" si="7"/>
        <v>228.20421929676914</v>
      </c>
      <c r="U29" s="205">
        <f t="shared" si="8"/>
        <v>29.18838059239792</v>
      </c>
      <c r="V29" s="205">
        <f t="shared" si="14"/>
        <v>496.20247007076466</v>
      </c>
      <c r="W29" s="205">
        <f t="shared" si="9"/>
        <v>8435.4419912029989</v>
      </c>
      <c r="X29" s="205">
        <f t="shared" si="15"/>
        <v>0.37301878030531777</v>
      </c>
      <c r="Y29" s="205">
        <f t="shared" si="10"/>
        <v>10.887814127663681</v>
      </c>
      <c r="Z29" s="205">
        <f t="shared" si="11"/>
        <v>209.90365283203491</v>
      </c>
      <c r="AA29" s="216">
        <f t="shared" si="12"/>
        <v>3568.3620981445933</v>
      </c>
    </row>
    <row r="30" spans="1:27" x14ac:dyDescent="0.35">
      <c r="A30" s="215">
        <v>19</v>
      </c>
      <c r="B30" s="205">
        <f t="shared" si="3"/>
        <v>10.5</v>
      </c>
      <c r="C30" s="234">
        <f t="shared" si="4"/>
        <v>10.975539254525529</v>
      </c>
      <c r="D30" s="200">
        <f t="shared" si="5"/>
        <v>11.87</v>
      </c>
      <c r="E30" s="205">
        <f>'Curvas de Bojean'!$C81*(B30/$B$5)^4+'Curvas de Bojean'!$D81*(B30/$B$5)^3+'Curvas de Bojean'!$E81*(B30/$B$5)^2+'Curvas de Bojean'!$F81*(B30/$B$5)</f>
        <v>0.22140403132140926</v>
      </c>
      <c r="F30" s="205">
        <f>'Curvas de Bojean'!$C81*(C30/$B$5)^4+'Curvas de Bojean'!$D81*(C30/$B$5)^3+'Curvas de Bojean'!$E81*(C30/$B$5)^2+'Curvas de Bojean'!$F81*(C30/$B$5)</f>
        <v>0.23314907872538487</v>
      </c>
      <c r="G30" s="205">
        <f>'Curvas de Bojean'!$C81*(D30/$B$5)^4+'Curvas de Bojean'!$D81*(D30/$B$5)^3+'Curvas de Bojean'!$E81*(D30/$B$5)^2+'Curvas de Bojean'!$F81*(D30/$B$5)</f>
        <v>0.25587401644959762</v>
      </c>
      <c r="H30" s="200">
        <f t="shared" si="0"/>
        <v>78.424758926196517</v>
      </c>
      <c r="I30" s="200">
        <f t="shared" si="1"/>
        <v>82.585037787137338</v>
      </c>
      <c r="J30" s="200">
        <f t="shared" si="2"/>
        <v>90.634564943429368</v>
      </c>
      <c r="K30" s="232">
        <v>8</v>
      </c>
      <c r="P30" s="215">
        <v>18</v>
      </c>
      <c r="Q30" s="205">
        <v>18</v>
      </c>
      <c r="R30" s="205">
        <f t="shared" si="6"/>
        <v>147.75438740622445</v>
      </c>
      <c r="S30" s="205">
        <f t="shared" si="13"/>
        <v>2659.57897331204</v>
      </c>
      <c r="T30" s="205">
        <f t="shared" si="7"/>
        <v>169.90748075544278</v>
      </c>
      <c r="U30" s="205">
        <f t="shared" si="8"/>
        <v>22.153093349218324</v>
      </c>
      <c r="V30" s="205">
        <f t="shared" si="14"/>
        <v>398.75568028592983</v>
      </c>
      <c r="W30" s="205">
        <f t="shared" si="9"/>
        <v>7177.602245146737</v>
      </c>
      <c r="X30" s="205">
        <f t="shared" si="15"/>
        <v>0.36006386260723144</v>
      </c>
      <c r="Y30" s="205">
        <f t="shared" si="10"/>
        <v>7.9765283600181194</v>
      </c>
      <c r="Z30" s="205">
        <f t="shared" si="11"/>
        <v>155.73091576624256</v>
      </c>
      <c r="AA30" s="216">
        <f t="shared" si="12"/>
        <v>2803.1564837923661</v>
      </c>
    </row>
    <row r="31" spans="1:27" ht="15" thickBot="1" x14ac:dyDescent="0.4">
      <c r="A31" s="225">
        <v>20</v>
      </c>
      <c r="B31" s="205">
        <f t="shared" si="3"/>
        <v>10.5</v>
      </c>
      <c r="C31" s="234">
        <f t="shared" si="4"/>
        <v>10.957791017279151</v>
      </c>
      <c r="D31" s="200">
        <f t="shared" si="5"/>
        <v>11.87</v>
      </c>
      <c r="E31" s="205">
        <f>'Curvas de Bojean'!$C82*(B31/$B$5)^4+'Curvas de Bojean'!$D82*(B31/$B$5)^3+'Curvas de Bojean'!$E82*(B31/$B$5)^2+'Curvas de Bojean'!$F82*(B31/$B$5)</f>
        <v>2.8610297433515411E-4</v>
      </c>
      <c r="F31" s="205">
        <f>'Curvas de Bojean'!$C82*(C31/$B$5)^4+'Curvas de Bojean'!$D82*(C31/$B$5)^3+'Curvas de Bojean'!$E82*(C31/$B$5)^2+'Curvas de Bojean'!$F82*(C31/$B$5)</f>
        <v>7.1398904646752508E-4</v>
      </c>
      <c r="G31" s="205">
        <f>'Curvas de Bojean'!$C82*(D31/$B$5)^4+'Curvas de Bojean'!$D82*(D31/$B$5)^3+'Curvas de Bojean'!$E82*(D31/$B$5)^2+'Curvas de Bojean'!$F82*(D31/$B$5)</f>
        <v>2.0691094113755686E-3</v>
      </c>
      <c r="H31" s="200">
        <f t="shared" si="0"/>
        <v>0.10134213300628638</v>
      </c>
      <c r="I31" s="200">
        <f t="shared" si="1"/>
        <v>0.25290604923030618</v>
      </c>
      <c r="J31" s="200">
        <f t="shared" si="2"/>
        <v>0.73291080478787229</v>
      </c>
      <c r="K31" s="232">
        <v>8</v>
      </c>
      <c r="P31" s="215">
        <v>19</v>
      </c>
      <c r="Q31" s="205">
        <v>19</v>
      </c>
      <c r="R31" s="205">
        <f t="shared" si="6"/>
        <v>78.424758926196517</v>
      </c>
      <c r="S31" s="205">
        <f t="shared" si="13"/>
        <v>1490.0704195977339</v>
      </c>
      <c r="T31" s="205">
        <f t="shared" si="7"/>
        <v>90.634564943429368</v>
      </c>
      <c r="U31" s="205">
        <f t="shared" si="8"/>
        <v>12.20980601723285</v>
      </c>
      <c r="V31" s="205">
        <f t="shared" si="14"/>
        <v>231.98631432742417</v>
      </c>
      <c r="W31" s="205">
        <f t="shared" si="9"/>
        <v>4407.7399722210594</v>
      </c>
      <c r="X31" s="205">
        <f t="shared" si="15"/>
        <v>0.34710894490914523</v>
      </c>
      <c r="Y31" s="205">
        <f t="shared" si="10"/>
        <v>4.2381328841870269</v>
      </c>
      <c r="Z31" s="205">
        <f t="shared" si="11"/>
        <v>82.662891810383542</v>
      </c>
      <c r="AA31" s="216">
        <f t="shared" si="12"/>
        <v>1570.5949443972872</v>
      </c>
    </row>
    <row r="32" spans="1:27" ht="15" thickBot="1" x14ac:dyDescent="0.4">
      <c r="P32" s="225">
        <v>20</v>
      </c>
      <c r="Q32" s="226">
        <v>20</v>
      </c>
      <c r="R32" s="226">
        <f t="shared" si="6"/>
        <v>0.10134213300628638</v>
      </c>
      <c r="S32" s="226">
        <f>R32*Q32</f>
        <v>2.0268426601257277</v>
      </c>
      <c r="T32" s="226">
        <f t="shared" si="7"/>
        <v>0.73291080478787229</v>
      </c>
      <c r="U32" s="226">
        <f>T32-R32</f>
        <v>0.63156867178158593</v>
      </c>
      <c r="V32" s="226">
        <f>U32*Q32</f>
        <v>12.631373435631719</v>
      </c>
      <c r="W32" s="226">
        <f>V32*Q32</f>
        <v>252.62746871263437</v>
      </c>
      <c r="X32" s="226">
        <f t="shared" si="15"/>
        <v>0.33415402721105891</v>
      </c>
      <c r="Y32" s="226">
        <f>U32*X32</f>
        <v>0.2110412151361564</v>
      </c>
      <c r="Z32" s="226">
        <f>R32+Y32</f>
        <v>0.31238334814244278</v>
      </c>
      <c r="AA32" s="228">
        <f>Z32*Q32</f>
        <v>6.2476669628488555</v>
      </c>
    </row>
    <row r="33" spans="13:25" x14ac:dyDescent="0.35">
      <c r="M33" s="9"/>
    </row>
    <row r="34" spans="13:25" x14ac:dyDescent="0.35">
      <c r="M34" s="9"/>
    </row>
    <row r="35" spans="13:25" x14ac:dyDescent="0.35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44" spans="13:25" x14ac:dyDescent="0.35">
      <c r="M44" s="9"/>
    </row>
    <row r="45" spans="13:25" x14ac:dyDescent="0.35">
      <c r="M45" s="9"/>
    </row>
    <row r="46" spans="13:25" x14ac:dyDescent="0.35">
      <c r="M46" s="9"/>
    </row>
    <row r="47" spans="13:25" x14ac:dyDescent="0.35">
      <c r="M47" s="9"/>
      <c r="N47" s="9"/>
      <c r="O47" s="9"/>
    </row>
  </sheetData>
  <mergeCells count="1">
    <mergeCell ref="A1:E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4A7D-9845-4F45-A07B-FFC8A6AE6EAC}">
  <dimension ref="A1:AC34"/>
  <sheetViews>
    <sheetView topLeftCell="A21" zoomScale="55" zoomScaleNormal="55" workbookViewId="0">
      <selection activeCell="Q16" sqref="Q16"/>
    </sheetView>
  </sheetViews>
  <sheetFormatPr defaultRowHeight="14.5" x14ac:dyDescent="0.35"/>
  <cols>
    <col min="2" max="2" width="21.54296875" bestFit="1" customWidth="1"/>
    <col min="3" max="3" width="16.1796875" bestFit="1" customWidth="1"/>
    <col min="4" max="4" width="10.26953125" bestFit="1" customWidth="1"/>
    <col min="8" max="8" width="16.453125" bestFit="1" customWidth="1"/>
    <col min="11" max="11" width="17.453125" bestFit="1" customWidth="1"/>
    <col min="16" max="16" width="12.7265625" bestFit="1" customWidth="1"/>
  </cols>
  <sheetData>
    <row r="1" spans="1:29" x14ac:dyDescent="0.35">
      <c r="A1" s="380" t="s">
        <v>519</v>
      </c>
      <c r="B1" s="380"/>
      <c r="C1" s="380"/>
      <c r="D1" s="380"/>
      <c r="E1" s="380"/>
    </row>
    <row r="4" spans="1:29" x14ac:dyDescent="0.35">
      <c r="A4" s="204" t="s">
        <v>6</v>
      </c>
      <c r="B4" s="200">
        <f>Prelude!F2</f>
        <v>9.9</v>
      </c>
      <c r="D4" s="204" t="s">
        <v>490</v>
      </c>
      <c r="E4" s="205">
        <v>10.5</v>
      </c>
      <c r="G4" s="204" t="s">
        <v>9</v>
      </c>
      <c r="H4" s="239">
        <v>0.76435512687944374</v>
      </c>
    </row>
    <row r="5" spans="1:29" x14ac:dyDescent="0.35">
      <c r="A5" s="204" t="s">
        <v>5</v>
      </c>
      <c r="B5" s="200">
        <f>Prelude!E2</f>
        <v>13.7</v>
      </c>
      <c r="D5" s="204" t="s">
        <v>491</v>
      </c>
      <c r="E5" s="200">
        <f>E4+H6</f>
        <v>12.5</v>
      </c>
      <c r="G5" s="204" t="s">
        <v>10</v>
      </c>
      <c r="H5" s="239">
        <v>-0.12032704391314317</v>
      </c>
    </row>
    <row r="6" spans="1:29" x14ac:dyDescent="0.35">
      <c r="A6" s="204" t="s">
        <v>4</v>
      </c>
      <c r="B6" s="200">
        <f>Prelude!C2</f>
        <v>187</v>
      </c>
      <c r="D6" s="204" t="s">
        <v>492</v>
      </c>
      <c r="E6" s="205">
        <f>B6/20</f>
        <v>9.35</v>
      </c>
      <c r="G6" s="204" t="s">
        <v>493</v>
      </c>
      <c r="H6" s="239">
        <v>2</v>
      </c>
    </row>
    <row r="7" spans="1:29" x14ac:dyDescent="0.35">
      <c r="J7" s="1" t="s">
        <v>522</v>
      </c>
      <c r="K7" s="1">
        <f>'Curvas de Bojean'!K17*2</f>
        <v>354.2155870339522</v>
      </c>
    </row>
    <row r="9" spans="1:29" ht="15" thickBot="1" x14ac:dyDescent="0.4"/>
    <row r="10" spans="1:29" x14ac:dyDescent="0.35">
      <c r="A10" s="207" t="s">
        <v>58</v>
      </c>
      <c r="B10" s="208" t="s">
        <v>520</v>
      </c>
      <c r="C10" s="208" t="s">
        <v>521</v>
      </c>
      <c r="D10" s="208" t="s">
        <v>494</v>
      </c>
      <c r="E10" s="208" t="s">
        <v>495</v>
      </c>
      <c r="F10" s="208" t="s">
        <v>496</v>
      </c>
      <c r="G10" s="208" t="s">
        <v>497</v>
      </c>
      <c r="H10" s="208" t="s">
        <v>498</v>
      </c>
      <c r="I10" s="208" t="s">
        <v>499</v>
      </c>
      <c r="J10" s="208" t="s">
        <v>500</v>
      </c>
      <c r="K10" s="208" t="s">
        <v>501</v>
      </c>
      <c r="L10" s="208" t="s">
        <v>502</v>
      </c>
      <c r="M10" s="210" t="s">
        <v>503</v>
      </c>
      <c r="R10" s="211" t="s">
        <v>58</v>
      </c>
      <c r="S10" s="212" t="s">
        <v>94</v>
      </c>
      <c r="T10" s="213" t="s">
        <v>504</v>
      </c>
      <c r="U10" s="208" t="s">
        <v>505</v>
      </c>
      <c r="V10" s="213" t="s">
        <v>506</v>
      </c>
      <c r="W10" s="213" t="s">
        <v>507</v>
      </c>
      <c r="X10" s="213" t="s">
        <v>508</v>
      </c>
      <c r="Y10" s="213" t="s">
        <v>509</v>
      </c>
      <c r="Z10" s="213" t="s">
        <v>510</v>
      </c>
      <c r="AA10" s="213" t="s">
        <v>511</v>
      </c>
      <c r="AB10" s="213" t="s">
        <v>512</v>
      </c>
      <c r="AC10" s="214" t="s">
        <v>513</v>
      </c>
    </row>
    <row r="11" spans="1:29" x14ac:dyDescent="0.35">
      <c r="A11" s="215">
        <v>0</v>
      </c>
      <c r="B11" s="200">
        <v>1</v>
      </c>
      <c r="C11" s="205">
        <f>B11</f>
        <v>1</v>
      </c>
      <c r="D11" s="205">
        <f>$E$4+C11</f>
        <v>11.5</v>
      </c>
      <c r="E11" s="205">
        <f>(D11)+($H$4)+(($H$5)*((S12*$E$6)/($B$6)))</f>
        <v>12.264355126879444</v>
      </c>
      <c r="F11" s="200">
        <f>$E$5+C11</f>
        <v>13.5</v>
      </c>
      <c r="G11" s="200">
        <f>'Curvas de Bojean'!C62*(D11/$B$5)^4+'Curvas de Bojean'!D62*(D11/$B$5)^3+'Curvas de Bojean'!E62*(D11/$B$5)^2+'Curvas de Bojean'!F62*(D11/$B$5)</f>
        <v>2.4978927191434002E-2</v>
      </c>
      <c r="H11" s="200">
        <f>'Curvas de Bojean'!$C62*(E11/$B$5)^4+'Curvas de Bojean'!$D62*(E11/$B$5)^3+'Curvas de Bojean'!$E62*(E11/$B$5)^2+'Curvas de Bojean'!$F62*(E11/$B$5)</f>
        <v>3.7283426419397414E-2</v>
      </c>
      <c r="I11" s="200">
        <f>'Curvas de Bojean'!$C62*(F11/$B$5)^4+'Curvas de Bojean'!$D62*(F11/$B$5)^3+'Curvas de Bojean'!$E62*(F11/$B$5)^2+'Curvas de Bojean'!$F62*(F11/$B$5)</f>
        <v>6.5352064978486613E-2</v>
      </c>
      <c r="J11" s="200">
        <f>($K$7)*G11</f>
        <v>8.8479253585921462</v>
      </c>
      <c r="K11" s="200">
        <f t="shared" ref="K11:L26" si="0">($K$7)*H11</f>
        <v>13.206370775784018</v>
      </c>
      <c r="L11" s="200">
        <f t="shared" si="0"/>
        <v>23.148720060235625</v>
      </c>
      <c r="M11" s="216">
        <v>8</v>
      </c>
      <c r="R11" s="217"/>
      <c r="S11" s="218"/>
      <c r="T11" s="203" t="s">
        <v>2</v>
      </c>
      <c r="U11" s="219"/>
      <c r="V11" s="203" t="s">
        <v>96</v>
      </c>
      <c r="W11" s="203" t="s">
        <v>97</v>
      </c>
      <c r="X11" s="203" t="s">
        <v>5</v>
      </c>
      <c r="Y11" s="219"/>
      <c r="Z11" s="203" t="s">
        <v>98</v>
      </c>
      <c r="AA11" s="203" t="s">
        <v>99</v>
      </c>
      <c r="AB11" s="203" t="s">
        <v>100</v>
      </c>
      <c r="AC11" s="220"/>
    </row>
    <row r="12" spans="1:29" x14ac:dyDescent="0.35">
      <c r="A12" s="215">
        <v>1</v>
      </c>
      <c r="B12" s="200">
        <v>0.96</v>
      </c>
      <c r="C12" s="205">
        <f t="shared" ref="C12:C31" si="1">B12</f>
        <v>0.96</v>
      </c>
      <c r="D12" s="205">
        <f t="shared" ref="D12:D31" si="2">$E$4+C12</f>
        <v>11.46</v>
      </c>
      <c r="E12" s="205">
        <f t="shared" ref="E12:E31" si="3">(D12)+($H$4)+(($H$5)*((S13*$E$6)/($B$6)))</f>
        <v>12.218338774683788</v>
      </c>
      <c r="F12" s="200">
        <f t="shared" ref="F12:F31" si="4">$E$5+C12</f>
        <v>13.46</v>
      </c>
      <c r="G12" s="200">
        <f>'Curvas de Bojean'!C63*(D12/$B$5)^4+'Curvas de Bojean'!D63*(D12/$B$5)^3+'Curvas de Bojean'!E63*(D12/$B$5)^2+'Curvas de Bojean'!F63*(D12/$B$5)</f>
        <v>0.16026546316714491</v>
      </c>
      <c r="H12" s="200">
        <f>'Curvas de Bojean'!$C63*(E12/$B$5)^4+'Curvas de Bojean'!$D63*(E12/$B$5)^3+'Curvas de Bojean'!$E63*(E12/$B$5)^2+'Curvas de Bojean'!$F63*(E12/$B$5)</f>
        <v>0.18909140180345002</v>
      </c>
      <c r="I12" s="200">
        <f>'Curvas de Bojean'!$C63*(F12/$B$5)^4+'Curvas de Bojean'!$D63*(F12/$B$5)^3+'Curvas de Bojean'!$E63*(F12/$B$5)^2+'Curvas de Bojean'!$F63*(F12/$B$5)</f>
        <v>0.24560785709952584</v>
      </c>
      <c r="J12" s="200">
        <f t="shared" ref="J12:J31" si="5">($K$7)*G12</f>
        <v>56.768525117018477</v>
      </c>
      <c r="K12" s="200">
        <f t="shared" si="0"/>
        <v>66.979121892881977</v>
      </c>
      <c r="L12" s="200">
        <f t="shared" si="0"/>
        <v>86.9981312826596</v>
      </c>
      <c r="M12" s="216">
        <v>8</v>
      </c>
      <c r="R12" s="215">
        <v>0</v>
      </c>
      <c r="S12" s="205">
        <v>0</v>
      </c>
      <c r="T12" s="200">
        <f>J11</f>
        <v>8.8479253585921462</v>
      </c>
      <c r="U12" s="205">
        <f>T12*S12</f>
        <v>0</v>
      </c>
      <c r="V12" s="200">
        <f>L11</f>
        <v>23.148720060235625</v>
      </c>
      <c r="W12" s="200">
        <f>V12-T12</f>
        <v>14.300794701643479</v>
      </c>
      <c r="X12" s="205">
        <f>W12*S12</f>
        <v>0</v>
      </c>
      <c r="Y12" s="205">
        <f>X12*S12</f>
        <v>0</v>
      </c>
      <c r="Z12" s="205">
        <f>($H$4/$H$6)+($H$5/$H$6)*(S12/20)</f>
        <v>0.38217756343972187</v>
      </c>
      <c r="AA12" s="205">
        <f>W12*Z12</f>
        <v>5.465442874325789</v>
      </c>
      <c r="AB12" s="205">
        <f>T12+AA12</f>
        <v>14.313368232917934</v>
      </c>
      <c r="AC12" s="216">
        <f>AB12*S12</f>
        <v>0</v>
      </c>
    </row>
    <row r="13" spans="1:29" x14ac:dyDescent="0.35">
      <c r="A13" s="215">
        <v>2</v>
      </c>
      <c r="B13" s="200">
        <v>0.85</v>
      </c>
      <c r="C13" s="205">
        <f t="shared" si="1"/>
        <v>0.85</v>
      </c>
      <c r="D13" s="205">
        <f t="shared" si="2"/>
        <v>11.35</v>
      </c>
      <c r="E13" s="205">
        <f t="shared" si="3"/>
        <v>12.102322422488129</v>
      </c>
      <c r="F13" s="200">
        <f t="shared" si="4"/>
        <v>13.35</v>
      </c>
      <c r="G13" s="200">
        <f>'Curvas de Bojean'!C64*(D13/$B$5)^4+'Curvas de Bojean'!D64*(D13/$B$5)^3+'Curvas de Bojean'!E64*(D13/$B$5)^2+'Curvas de Bojean'!F64*(D13/$B$5)</f>
        <v>0.33322471274669851</v>
      </c>
      <c r="H13" s="200">
        <f>'Curvas de Bojean'!$C64*(E13/$B$5)^4+'Curvas de Bojean'!$D64*(E13/$B$5)^3+'Curvas de Bojean'!$E64*(E13/$B$5)^2+'Curvas de Bojean'!$F64*(E13/$B$5)</f>
        <v>0.37356311840195322</v>
      </c>
      <c r="I13" s="200">
        <f>'Curvas de Bojean'!$C64*(F13/$B$5)^4+'Curvas de Bojean'!$D64*(F13/$B$5)^3+'Curvas de Bojean'!$E64*(F13/$B$5)^2+'Curvas de Bojean'!$F64*(F13/$B$5)</f>
        <v>0.44674082471397386</v>
      </c>
      <c r="J13" s="200">
        <f t="shared" si="5"/>
        <v>118.03338723979191</v>
      </c>
      <c r="K13" s="200">
        <f t="shared" si="0"/>
        <v>132.32187927898164</v>
      </c>
      <c r="L13" s="200">
        <f t="shared" si="0"/>
        <v>158.24256347809219</v>
      </c>
      <c r="M13" s="216">
        <v>8</v>
      </c>
      <c r="O13" s="204" t="s">
        <v>488</v>
      </c>
      <c r="P13" s="239">
        <f>1.025*E6*(SUM(AB13:AB31)+AB12/2+AB32/2)</f>
        <v>41889.562929362975</v>
      </c>
      <c r="R13" s="215">
        <v>1</v>
      </c>
      <c r="S13" s="205">
        <v>1</v>
      </c>
      <c r="T13" s="200">
        <f t="shared" ref="T13:T32" si="6">J12</f>
        <v>56.768525117018477</v>
      </c>
      <c r="U13" s="205">
        <f>T13*S13</f>
        <v>56.768525117018477</v>
      </c>
      <c r="V13" s="200">
        <f t="shared" ref="V13:V32" si="7">L12</f>
        <v>86.9981312826596</v>
      </c>
      <c r="W13" s="205">
        <f t="shared" ref="W13:W31" si="8">V13-T13</f>
        <v>30.229606165641123</v>
      </c>
      <c r="X13" s="205">
        <f>W13*S13</f>
        <v>30.229606165641123</v>
      </c>
      <c r="Y13" s="205">
        <f t="shared" ref="Y13:Y31" si="9">X13*S13</f>
        <v>30.229606165641123</v>
      </c>
      <c r="Z13" s="205">
        <f t="shared" ref="Z13:Z32" si="10">($H$4/$H$6)+($H$5/$H$6)*(S13/20)</f>
        <v>0.37916938734189332</v>
      </c>
      <c r="AA13" s="205">
        <f t="shared" ref="AA13:AA31" si="11">W13*Z13</f>
        <v>11.462141249412864</v>
      </c>
      <c r="AB13" s="205">
        <f t="shared" ref="AB13:AB31" si="12">T13+AA13</f>
        <v>68.230666366431336</v>
      </c>
      <c r="AC13" s="216">
        <f t="shared" ref="AC13:AC31" si="13">AB13*S13</f>
        <v>68.230666366431336</v>
      </c>
    </row>
    <row r="14" spans="1:29" x14ac:dyDescent="0.35">
      <c r="A14" s="215">
        <v>3</v>
      </c>
      <c r="B14" s="200">
        <v>0.68</v>
      </c>
      <c r="C14" s="205">
        <f t="shared" si="1"/>
        <v>0.68</v>
      </c>
      <c r="D14" s="205">
        <f t="shared" si="2"/>
        <v>11.18</v>
      </c>
      <c r="E14" s="205">
        <f t="shared" si="3"/>
        <v>11.926306070292473</v>
      </c>
      <c r="F14" s="200">
        <f t="shared" si="4"/>
        <v>13.18</v>
      </c>
      <c r="G14" s="200">
        <f>'Curvas de Bojean'!C65*(D14/$B$5)^4+'Curvas de Bojean'!D65*(D14/$B$5)^3+'Curvas de Bojean'!E65*(D14/$B$5)^2+'Curvas de Bojean'!F65*(D14/$B$5)</f>
        <v>0.49028942586827134</v>
      </c>
      <c r="H14" s="200">
        <f>'Curvas de Bojean'!$C65*(E14/$B$5)^4+'Curvas de Bojean'!$D65*(E14/$B$5)^3+'Curvas de Bojean'!$E65*(E14/$B$5)^2+'Curvas de Bojean'!$F65*(E14/$B$5)</f>
        <v>0.53803268469864474</v>
      </c>
      <c r="I14" s="200">
        <f>'Curvas de Bojean'!$C65*(F14/$B$5)^4+'Curvas de Bojean'!$D65*(F14/$B$5)^3+'Curvas de Bojean'!$E65*(F14/$B$5)^2+'Curvas de Bojean'!$F65*(F14/$B$5)</f>
        <v>0.62173703184643114</v>
      </c>
      <c r="J14" s="200">
        <f t="shared" si="5"/>
        <v>173.66815680046912</v>
      </c>
      <c r="K14" s="200">
        <f t="shared" si="0"/>
        <v>190.57956325398376</v>
      </c>
      <c r="L14" s="200">
        <f t="shared" si="0"/>
        <v>220.22894771623064</v>
      </c>
      <c r="M14" s="216">
        <v>8</v>
      </c>
      <c r="O14" s="204" t="s">
        <v>484</v>
      </c>
      <c r="P14" s="239">
        <f ca="1">'DW + LW'!E49</f>
        <v>41889.563078013125</v>
      </c>
      <c r="R14" s="215">
        <v>2</v>
      </c>
      <c r="S14" s="205">
        <v>2</v>
      </c>
      <c r="T14" s="200">
        <f t="shared" si="6"/>
        <v>118.03338723979191</v>
      </c>
      <c r="U14" s="205">
        <f t="shared" ref="U14:U31" si="14">T14*S14</f>
        <v>236.06677447958381</v>
      </c>
      <c r="V14" s="200">
        <f t="shared" si="7"/>
        <v>158.24256347809219</v>
      </c>
      <c r="W14" s="205">
        <f t="shared" si="8"/>
        <v>40.209176238300287</v>
      </c>
      <c r="X14" s="205">
        <f t="shared" ref="X14:X31" si="15">W14*S14</f>
        <v>80.418352476600575</v>
      </c>
      <c r="Y14" s="205">
        <f t="shared" si="9"/>
        <v>160.83670495320115</v>
      </c>
      <c r="Z14" s="205">
        <f t="shared" si="10"/>
        <v>0.37616121124406471</v>
      </c>
      <c r="AA14" s="205">
        <f t="shared" si="11"/>
        <v>15.125132436925101</v>
      </c>
      <c r="AB14" s="205">
        <f t="shared" si="12"/>
        <v>133.15851967671702</v>
      </c>
      <c r="AC14" s="216">
        <f t="shared" si="13"/>
        <v>266.31703935343404</v>
      </c>
    </row>
    <row r="15" spans="1:29" x14ac:dyDescent="0.35">
      <c r="A15" s="215">
        <v>4</v>
      </c>
      <c r="B15" s="200">
        <v>0.44</v>
      </c>
      <c r="C15" s="205">
        <f>B15</f>
        <v>0.44</v>
      </c>
      <c r="D15" s="205">
        <f t="shared" si="2"/>
        <v>10.94</v>
      </c>
      <c r="E15" s="205">
        <f t="shared" si="3"/>
        <v>11.680289718096814</v>
      </c>
      <c r="F15" s="200">
        <f t="shared" si="4"/>
        <v>12.94</v>
      </c>
      <c r="G15" s="200">
        <f>'Curvas de Bojean'!C66*(D15/$B$5)^4+'Curvas de Bojean'!D66*(D15/$B$5)^3+'Curvas de Bojean'!E66*(D15/$B$5)^2+'Curvas de Bojean'!F66*(D15/$B$5)</f>
        <v>0.61128377148696389</v>
      </c>
      <c r="H15" s="200">
        <f>'Curvas de Bojean'!$C66*(E15/$B$5)^4+'Curvas de Bojean'!$D66*(E15/$B$5)^3+'Curvas de Bojean'!$E66*(E15/$B$5)^2+'Curvas de Bojean'!$F66*(E15/$B$5)</f>
        <v>0.6629858062815055</v>
      </c>
      <c r="I15" s="200">
        <f>'Curvas de Bojean'!$C66*(F15/$B$5)^4+'Curvas de Bojean'!$D66*(F15/$B$5)^3+'Curvas de Bojean'!$E66*(F15/$B$5)^2+'Curvas de Bojean'!$F66*(F15/$B$5)</f>
        <v>0.7525600884980026</v>
      </c>
      <c r="J15" s="200">
        <f t="shared" si="5"/>
        <v>216.5262399615832</v>
      </c>
      <c r="K15" s="200">
        <f t="shared" si="0"/>
        <v>234.83990656718157</v>
      </c>
      <c r="L15" s="200">
        <f t="shared" si="0"/>
        <v>266.56851352564303</v>
      </c>
      <c r="M15" s="216">
        <v>8</v>
      </c>
      <c r="O15" s="204" t="s">
        <v>95</v>
      </c>
      <c r="P15" s="239">
        <f ca="1">ABS(P13-P14)</f>
        <v>1.4865014964016154E-4</v>
      </c>
      <c r="R15" s="215">
        <v>3</v>
      </c>
      <c r="S15" s="205">
        <v>3</v>
      </c>
      <c r="T15" s="200">
        <f t="shared" si="6"/>
        <v>173.66815680046912</v>
      </c>
      <c r="U15" s="205">
        <f t="shared" si="14"/>
        <v>521.00447040140739</v>
      </c>
      <c r="V15" s="200">
        <f t="shared" si="7"/>
        <v>220.22894771623064</v>
      </c>
      <c r="W15" s="205">
        <f t="shared" si="8"/>
        <v>46.560790915761515</v>
      </c>
      <c r="X15" s="205">
        <f t="shared" si="15"/>
        <v>139.68237274728455</v>
      </c>
      <c r="Y15" s="205">
        <f t="shared" si="9"/>
        <v>419.04711824185364</v>
      </c>
      <c r="Z15" s="205">
        <f t="shared" si="10"/>
        <v>0.37315303514623616</v>
      </c>
      <c r="AA15" s="205">
        <f t="shared" si="11"/>
        <v>17.374300449025711</v>
      </c>
      <c r="AB15" s="205">
        <f>T15+AA15</f>
        <v>191.04245724949482</v>
      </c>
      <c r="AC15" s="216">
        <f t="shared" si="13"/>
        <v>573.12737174848439</v>
      </c>
    </row>
    <row r="16" spans="1:29" x14ac:dyDescent="0.35">
      <c r="A16" s="215">
        <v>5</v>
      </c>
      <c r="B16" s="200">
        <v>0.15</v>
      </c>
      <c r="C16" s="205">
        <f t="shared" si="1"/>
        <v>0.15</v>
      </c>
      <c r="D16" s="205">
        <f t="shared" si="2"/>
        <v>10.65</v>
      </c>
      <c r="E16" s="205">
        <f t="shared" si="3"/>
        <v>11.384273365901159</v>
      </c>
      <c r="F16" s="200">
        <f t="shared" si="4"/>
        <v>12.65</v>
      </c>
      <c r="G16" s="200">
        <f>'Curvas de Bojean'!C67*(D16/$B$5)^4+'Curvas de Bojean'!D67*(D16/$B$5)^3+'Curvas de Bojean'!E67*(D16/$B$5)^2+'Curvas de Bojean'!F67*(D16/$B$5)</f>
        <v>0.68804459334943846</v>
      </c>
      <c r="H16" s="200">
        <f>'Curvas de Bojean'!$C67*(E16/$B$5)^4+'Curvas de Bojean'!$D67*(E16/$B$5)^3+'Curvas de Bojean'!$E67*(E16/$B$5)^2+'Curvas de Bojean'!$F67*(E16/$B$5)</f>
        <v>0.74129158616284241</v>
      </c>
      <c r="I16" s="200">
        <f>'Curvas de Bojean'!$C67*(F16/$B$5)^4+'Curvas de Bojean'!$D67*(F16/$B$5)^3+'Curvas de Bojean'!$E67*(F16/$B$5)^2+'Curvas de Bojean'!$F67*(F16/$B$5)</f>
        <v>0.83368396190781091</v>
      </c>
      <c r="J16" s="200">
        <f t="shared" si="5"/>
        <v>243.71611953880827</v>
      </c>
      <c r="K16" s="200">
        <f t="shared" si="0"/>
        <v>262.57703435600081</v>
      </c>
      <c r="L16" s="200">
        <f t="shared" si="0"/>
        <v>295.30385396796629</v>
      </c>
      <c r="M16" s="216">
        <v>8</v>
      </c>
      <c r="O16" s="204" t="s">
        <v>514</v>
      </c>
      <c r="P16" s="238">
        <f ca="1">P15/P14</f>
        <v>3.5486201983850392E-9</v>
      </c>
      <c r="R16" s="215">
        <v>4</v>
      </c>
      <c r="S16" s="205">
        <v>4</v>
      </c>
      <c r="T16" s="200">
        <f t="shared" si="6"/>
        <v>216.5262399615832</v>
      </c>
      <c r="U16" s="205">
        <f t="shared" si="14"/>
        <v>866.1049598463328</v>
      </c>
      <c r="V16" s="200">
        <f t="shared" si="7"/>
        <v>266.56851352564303</v>
      </c>
      <c r="W16" s="205">
        <f t="shared" si="8"/>
        <v>50.042273564059826</v>
      </c>
      <c r="X16" s="205">
        <f t="shared" si="15"/>
        <v>200.1690942562393</v>
      </c>
      <c r="Y16" s="205">
        <f t="shared" si="9"/>
        <v>800.67637702495722</v>
      </c>
      <c r="Z16" s="205">
        <f t="shared" si="10"/>
        <v>0.37014485904840755</v>
      </c>
      <c r="AA16" s="205">
        <f t="shared" si="11"/>
        <v>18.522890294830777</v>
      </c>
      <c r="AB16" s="205">
        <f t="shared" si="12"/>
        <v>235.04913025641397</v>
      </c>
      <c r="AC16" s="216">
        <f t="shared" si="13"/>
        <v>940.1965210256559</v>
      </c>
    </row>
    <row r="17" spans="1:29" x14ac:dyDescent="0.35">
      <c r="A17" s="215">
        <v>6</v>
      </c>
      <c r="B17" s="200">
        <v>-0.16</v>
      </c>
      <c r="C17" s="205">
        <f t="shared" si="1"/>
        <v>-0.16</v>
      </c>
      <c r="D17" s="205">
        <f t="shared" si="2"/>
        <v>10.34</v>
      </c>
      <c r="E17" s="205">
        <f t="shared" si="3"/>
        <v>11.068257013705502</v>
      </c>
      <c r="F17" s="200">
        <f t="shared" si="4"/>
        <v>12.34</v>
      </c>
      <c r="G17" s="200">
        <f>'Curvas de Bojean'!C68*(D17/$B$5)^4+'Curvas de Bojean'!D68*(D17/$B$5)^3+'Curvas de Bojean'!E68*(D17/$B$5)^2+'Curvas de Bojean'!F68*(D17/$B$5)</f>
        <v>0.72202364449439205</v>
      </c>
      <c r="H17" s="200">
        <f>'Curvas de Bojean'!$C68*(E17/$B$5)^4+'Curvas de Bojean'!$D68*(E17/$B$5)^3+'Curvas de Bojean'!$E68*(E17/$B$5)^2+'Curvas de Bojean'!$F68*(E17/$B$5)</f>
        <v>0.77524927476118899</v>
      </c>
      <c r="I17" s="200">
        <f>'Curvas de Bojean'!$C68*(F17/$B$5)^4+'Curvas de Bojean'!$D68*(F17/$B$5)^3+'Curvas de Bojean'!$E68*(F17/$B$5)^2+'Curvas de Bojean'!$F68*(F17/$B$5)</f>
        <v>0.86847341116618126</v>
      </c>
      <c r="J17" s="200">
        <f t="shared" si="5"/>
        <v>255.75202908697469</v>
      </c>
      <c r="K17" s="200">
        <f t="shared" si="0"/>
        <v>274.60537695718028</v>
      </c>
      <c r="L17" s="200">
        <f t="shared" si="0"/>
        <v>307.62681915960786</v>
      </c>
      <c r="M17" s="216">
        <v>8</v>
      </c>
      <c r="P17" s="21"/>
      <c r="R17" s="215">
        <v>5</v>
      </c>
      <c r="S17" s="205">
        <v>5</v>
      </c>
      <c r="T17" s="200">
        <f t="shared" si="6"/>
        <v>243.71611953880827</v>
      </c>
      <c r="U17" s="205">
        <f t="shared" si="14"/>
        <v>1218.5805976940414</v>
      </c>
      <c r="V17" s="200">
        <f t="shared" si="7"/>
        <v>295.30385396796629</v>
      </c>
      <c r="W17" s="205">
        <f t="shared" si="8"/>
        <v>51.587734429158019</v>
      </c>
      <c r="X17" s="205">
        <f t="shared" si="15"/>
        <v>257.93867214579006</v>
      </c>
      <c r="Y17" s="205">
        <f t="shared" si="9"/>
        <v>1289.6933607289502</v>
      </c>
      <c r="Z17" s="205">
        <f t="shared" si="10"/>
        <v>0.367136682950579</v>
      </c>
      <c r="AA17" s="205">
        <f t="shared" si="11"/>
        <v>18.939749699256456</v>
      </c>
      <c r="AB17" s="205">
        <f t="shared" si="12"/>
        <v>262.65586923806472</v>
      </c>
      <c r="AC17" s="216">
        <f t="shared" si="13"/>
        <v>1313.2793461903236</v>
      </c>
    </row>
    <row r="18" spans="1:29" x14ac:dyDescent="0.35">
      <c r="A18" s="215">
        <v>7</v>
      </c>
      <c r="B18" s="200">
        <v>-0.47</v>
      </c>
      <c r="C18" s="205">
        <f t="shared" si="1"/>
        <v>-0.47</v>
      </c>
      <c r="D18" s="205">
        <f t="shared" si="2"/>
        <v>10.029999999999999</v>
      </c>
      <c r="E18" s="205">
        <f t="shared" si="3"/>
        <v>10.752240661509843</v>
      </c>
      <c r="F18" s="200">
        <f t="shared" si="4"/>
        <v>12.03</v>
      </c>
      <c r="G18" s="200">
        <f>'Curvas de Bojean'!C69*(D18/$B$5)^4+'Curvas de Bojean'!D69*(D18/$B$5)^3+'Curvas de Bojean'!E69*(D18/$B$5)^2+'Curvas de Bojean'!F69*(D18/$B$5)</f>
        <v>0.723816912266533</v>
      </c>
      <c r="H18" s="200">
        <f>'Curvas de Bojean'!$C69*(E18/$B$5)^4+'Curvas de Bojean'!$D69*(E18/$B$5)^3+'Curvas de Bojean'!$E69*(E18/$B$5)^2+'Curvas de Bojean'!$F69*(E18/$B$5)</f>
        <v>0.77675802136638572</v>
      </c>
      <c r="I18" s="200">
        <f>'Curvas de Bojean'!$C69*(F18/$B$5)^4+'Curvas de Bojean'!$D69*(F18/$B$5)^3+'Curvas de Bojean'!$E69*(F18/$B$5)^2+'Curvas de Bojean'!$F69*(F18/$B$5)</f>
        <v>0.87052325953194698</v>
      </c>
      <c r="J18" s="200">
        <f t="shared" si="5"/>
        <v>256.38723248359264</v>
      </c>
      <c r="K18" s="200">
        <f t="shared" si="0"/>
        <v>275.13979852162549</v>
      </c>
      <c r="L18" s="200">
        <f t="shared" si="0"/>
        <v>308.35290740181813</v>
      </c>
      <c r="M18" s="216">
        <v>8</v>
      </c>
      <c r="P18" s="21"/>
      <c r="R18" s="215">
        <v>6</v>
      </c>
      <c r="S18" s="205">
        <v>6</v>
      </c>
      <c r="T18" s="200">
        <f t="shared" si="6"/>
        <v>255.75202908697469</v>
      </c>
      <c r="U18" s="205">
        <f t="shared" si="14"/>
        <v>1534.512174521848</v>
      </c>
      <c r="V18" s="200">
        <f t="shared" si="7"/>
        <v>307.62681915960786</v>
      </c>
      <c r="W18" s="205">
        <f t="shared" si="8"/>
        <v>51.874790072633175</v>
      </c>
      <c r="X18" s="205">
        <f t="shared" si="15"/>
        <v>311.24874043579905</v>
      </c>
      <c r="Y18" s="205">
        <f t="shared" si="9"/>
        <v>1867.4924426147943</v>
      </c>
      <c r="Z18" s="205">
        <f t="shared" si="10"/>
        <v>0.36412850685275039</v>
      </c>
      <c r="AA18" s="205">
        <f t="shared" si="11"/>
        <v>18.889089852447796</v>
      </c>
      <c r="AB18" s="205">
        <f t="shared" si="12"/>
        <v>274.64111893942248</v>
      </c>
      <c r="AC18" s="216">
        <f t="shared" si="13"/>
        <v>1647.8467136365348</v>
      </c>
    </row>
    <row r="19" spans="1:29" x14ac:dyDescent="0.35">
      <c r="A19" s="215">
        <v>8</v>
      </c>
      <c r="B19" s="200">
        <v>-0.74</v>
      </c>
      <c r="C19" s="205">
        <f t="shared" si="1"/>
        <v>-0.74</v>
      </c>
      <c r="D19" s="205">
        <f t="shared" si="2"/>
        <v>9.76</v>
      </c>
      <c r="E19" s="205">
        <f t="shared" si="3"/>
        <v>10.476224309314187</v>
      </c>
      <c r="F19" s="200">
        <f t="shared" si="4"/>
        <v>11.76</v>
      </c>
      <c r="G19" s="200">
        <f>'Curvas de Bojean'!C70*(D19/$B$5)^4+'Curvas de Bojean'!D70*(D19/$B$5)^3+'Curvas de Bojean'!E70*(D19/$B$5)^2+'Curvas de Bojean'!F70*(D19/$B$5)</f>
        <v>0.70986174229570964</v>
      </c>
      <c r="H19" s="200">
        <f>'Curvas de Bojean'!$C70*(E19/$B$5)^4+'Curvas de Bojean'!$D70*(E19/$B$5)^3+'Curvas de Bojean'!$E70*(E19/$B$5)^2+'Curvas de Bojean'!$F70*(E19/$B$5)</f>
        <v>0.76232281086896669</v>
      </c>
      <c r="I19" s="200">
        <f>'Curvas de Bojean'!$C70*(F19/$B$5)^4+'Curvas de Bojean'!$D70*(F19/$B$5)^3+'Curvas de Bojean'!$E70*(F19/$B$5)^2+'Curvas de Bojean'!$F70*(F19/$B$5)</f>
        <v>0.85640414384926422</v>
      </c>
      <c r="J19" s="200">
        <f t="shared" si="5"/>
        <v>251.44409376021889</v>
      </c>
      <c r="K19" s="200">
        <f t="shared" si="0"/>
        <v>270.02662196132354</v>
      </c>
      <c r="L19" s="200">
        <f t="shared" si="0"/>
        <v>303.35169655187639</v>
      </c>
      <c r="M19" s="216">
        <v>8</v>
      </c>
      <c r="O19" s="204" t="s">
        <v>1</v>
      </c>
      <c r="P19" s="239">
        <f>E6*((SUM(AC12:AC32))/(SUM(AB12:AB32)))-B6/2</f>
        <v>1.9892695907421682</v>
      </c>
      <c r="R19" s="215">
        <v>7</v>
      </c>
      <c r="S19" s="205">
        <v>7</v>
      </c>
      <c r="T19" s="200">
        <f t="shared" si="6"/>
        <v>256.38723248359264</v>
      </c>
      <c r="U19" s="205">
        <f t="shared" si="14"/>
        <v>1794.7106273851484</v>
      </c>
      <c r="V19" s="200">
        <f t="shared" si="7"/>
        <v>308.35290740181813</v>
      </c>
      <c r="W19" s="205">
        <f t="shared" si="8"/>
        <v>51.965674918225488</v>
      </c>
      <c r="X19" s="205">
        <f t="shared" si="15"/>
        <v>363.75972442757842</v>
      </c>
      <c r="Y19" s="205">
        <f t="shared" si="9"/>
        <v>2546.3180709930489</v>
      </c>
      <c r="Z19" s="205">
        <f t="shared" si="10"/>
        <v>0.36112033075492184</v>
      </c>
      <c r="AA19" s="205">
        <f t="shared" si="11"/>
        <v>18.765861714372335</v>
      </c>
      <c r="AB19" s="205">
        <f t="shared" si="12"/>
        <v>275.15309419796495</v>
      </c>
      <c r="AC19" s="216">
        <f t="shared" si="13"/>
        <v>1926.0716593857546</v>
      </c>
    </row>
    <row r="20" spans="1:29" x14ac:dyDescent="0.35">
      <c r="A20" s="215">
        <v>9</v>
      </c>
      <c r="B20" s="200">
        <v>-0.93</v>
      </c>
      <c r="C20" s="205">
        <f t="shared" si="1"/>
        <v>-0.93</v>
      </c>
      <c r="D20" s="205">
        <f t="shared" si="2"/>
        <v>9.57</v>
      </c>
      <c r="E20" s="205">
        <f t="shared" si="3"/>
        <v>10.280207957118529</v>
      </c>
      <c r="F20" s="200">
        <f t="shared" si="4"/>
        <v>11.57</v>
      </c>
      <c r="G20" s="200">
        <f>'Curvas de Bojean'!C71*(D20/$B$5)^4+'Curvas de Bojean'!D71*(D20/$B$5)^3+'Curvas de Bojean'!E71*(D20/$B$5)^2+'Curvas de Bojean'!F71*(D20/$B$5)</f>
        <v>0.69619979725828529</v>
      </c>
      <c r="H20" s="200">
        <f>'Curvas de Bojean'!$C71*(E20/$B$5)^4+'Curvas de Bojean'!$D71*(E20/$B$5)^3+'Curvas de Bojean'!$E71*(E20/$B$5)^2+'Curvas de Bojean'!$F71*(E20/$B$5)</f>
        <v>0.74823054598551186</v>
      </c>
      <c r="I20" s="200">
        <f>'Curvas de Bojean'!$C71*(F20/$B$5)^4+'Curvas de Bojean'!$D71*(F20/$B$5)^3+'Curvas de Bojean'!$E71*(F20/$B$5)^2+'Curvas de Bojean'!$F71*(F20/$B$5)</f>
        <v>0.84271434357711805</v>
      </c>
      <c r="J20" s="200">
        <f t="shared" si="5"/>
        <v>246.60481987876204</v>
      </c>
      <c r="K20" s="200">
        <f t="shared" si="0"/>
        <v>265.03492208299264</v>
      </c>
      <c r="L20" s="200">
        <f t="shared" si="0"/>
        <v>298.50255591210055</v>
      </c>
      <c r="M20" s="216">
        <v>8</v>
      </c>
      <c r="O20" s="204" t="s">
        <v>515</v>
      </c>
      <c r="P20" s="239">
        <f ca="1">'DW + LW'!O47</f>
        <v>1.9892695911520033</v>
      </c>
      <c r="R20" s="215">
        <v>8</v>
      </c>
      <c r="S20" s="205">
        <v>8</v>
      </c>
      <c r="T20" s="200">
        <f t="shared" si="6"/>
        <v>251.44409376021889</v>
      </c>
      <c r="U20" s="205">
        <f t="shared" si="14"/>
        <v>2011.5527500817511</v>
      </c>
      <c r="V20" s="200">
        <f t="shared" si="7"/>
        <v>303.35169655187639</v>
      </c>
      <c r="W20" s="205">
        <f t="shared" si="8"/>
        <v>51.907602791657496</v>
      </c>
      <c r="X20" s="205">
        <f t="shared" si="15"/>
        <v>415.26082233325997</v>
      </c>
      <c r="Y20" s="205">
        <f t="shared" si="9"/>
        <v>3322.0865786660797</v>
      </c>
      <c r="Z20" s="205">
        <f t="shared" si="10"/>
        <v>0.35811215465709323</v>
      </c>
      <c r="AA20" s="205">
        <f t="shared" si="11"/>
        <v>18.588743478805014</v>
      </c>
      <c r="AB20" s="205">
        <f t="shared" si="12"/>
        <v>270.03283723902393</v>
      </c>
      <c r="AC20" s="216">
        <f t="shared" si="13"/>
        <v>2160.2626979121915</v>
      </c>
    </row>
    <row r="21" spans="1:29" x14ac:dyDescent="0.35">
      <c r="A21" s="215">
        <v>10</v>
      </c>
      <c r="B21" s="200">
        <v>-1</v>
      </c>
      <c r="C21" s="205">
        <f t="shared" si="1"/>
        <v>-1</v>
      </c>
      <c r="D21" s="205">
        <f t="shared" si="2"/>
        <v>9.5</v>
      </c>
      <c r="E21" s="205">
        <f t="shared" si="3"/>
        <v>10.204191604922872</v>
      </c>
      <c r="F21" s="200">
        <f t="shared" si="4"/>
        <v>11.5</v>
      </c>
      <c r="G21" s="200">
        <f>'Curvas de Bojean'!C72*(D21/$B$5)^4+'Curvas de Bojean'!D72*(D21/$B$5)^3+'Curvas de Bojean'!E72*(D21/$B$5)^2+'Curvas de Bojean'!F72*(D21/$B$5)</f>
        <v>0.69133347915454757</v>
      </c>
      <c r="H21" s="200">
        <f>'Curvas de Bojean'!$C72*(E21/$B$5)^4+'Curvas de Bojean'!$D72*(E21/$B$5)^3+'Curvas de Bojean'!$E72*(E21/$B$5)^2+'Curvas de Bojean'!$F72*(E21/$B$5)</f>
        <v>0.74292577853578423</v>
      </c>
      <c r="I21" s="200">
        <f>'Curvas de Bojean'!$C72*(F21/$B$5)^4+'Curvas de Bojean'!$D72*(F21/$B$5)^3+'Curvas de Bojean'!$E72*(F21/$B$5)^2+'Curvas de Bojean'!$F72*(F21/$B$5)</f>
        <v>0.83783517880416358</v>
      </c>
      <c r="J21" s="200">
        <f t="shared" si="5"/>
        <v>244.88109415495262</v>
      </c>
      <c r="K21" s="200">
        <f t="shared" si="0"/>
        <v>263.15589076670881</v>
      </c>
      <c r="L21" s="200">
        <f t="shared" si="0"/>
        <v>296.77427969781309</v>
      </c>
      <c r="M21" s="216">
        <v>8</v>
      </c>
      <c r="O21" s="204" t="s">
        <v>516</v>
      </c>
      <c r="P21" s="239">
        <f ca="1">(P19-P20)</f>
        <v>-4.0983505478209281E-10</v>
      </c>
      <c r="R21" s="215">
        <v>9</v>
      </c>
      <c r="S21" s="205">
        <v>9</v>
      </c>
      <c r="T21" s="200">
        <f t="shared" si="6"/>
        <v>246.60481987876204</v>
      </c>
      <c r="U21" s="205">
        <f t="shared" si="14"/>
        <v>2219.4433789088584</v>
      </c>
      <c r="V21" s="200">
        <f t="shared" si="7"/>
        <v>298.50255591210055</v>
      </c>
      <c r="W21" s="205">
        <f t="shared" si="8"/>
        <v>51.897736033338504</v>
      </c>
      <c r="X21" s="205">
        <f t="shared" si="15"/>
        <v>467.07962430004653</v>
      </c>
      <c r="Y21" s="205">
        <f t="shared" si="9"/>
        <v>4203.7166187004186</v>
      </c>
      <c r="Z21" s="205">
        <f t="shared" si="10"/>
        <v>0.35510397855926468</v>
      </c>
      <c r="AA21" s="205">
        <f t="shared" si="11"/>
        <v>18.429092543657013</v>
      </c>
      <c r="AB21" s="205">
        <f t="shared" si="12"/>
        <v>265.03391242241906</v>
      </c>
      <c r="AC21" s="216">
        <f t="shared" si="13"/>
        <v>2385.3052118017717</v>
      </c>
    </row>
    <row r="22" spans="1:29" x14ac:dyDescent="0.35">
      <c r="A22" s="215">
        <v>11</v>
      </c>
      <c r="B22" s="200">
        <v>-0.93</v>
      </c>
      <c r="C22" s="205">
        <f t="shared" si="1"/>
        <v>-0.93</v>
      </c>
      <c r="D22" s="205">
        <f t="shared" si="2"/>
        <v>9.57</v>
      </c>
      <c r="E22" s="205">
        <f t="shared" si="3"/>
        <v>10.268175252727216</v>
      </c>
      <c r="F22" s="200">
        <f t="shared" si="4"/>
        <v>11.57</v>
      </c>
      <c r="G22" s="200">
        <f>'Curvas de Bojean'!C73*(D22/$B$5)^4+'Curvas de Bojean'!D73*(D22/$B$5)^3+'Curvas de Bojean'!E73*(D22/$B$5)^2+'Curvas de Bojean'!F73*(D22/$B$5)</f>
        <v>0.69673109500072639</v>
      </c>
      <c r="H22" s="200">
        <f>'Curvas de Bojean'!$C73*(E22/$B$5)^4+'Curvas de Bojean'!$D73*(E22/$B$5)^3+'Curvas de Bojean'!$E73*(E22/$B$5)^2+'Curvas de Bojean'!$F73*(E22/$B$5)</f>
        <v>0.74787196941710432</v>
      </c>
      <c r="I22" s="200">
        <f>'Curvas de Bojean'!$C73*(F22/$B$5)^4+'Curvas de Bojean'!$D73*(F22/$B$5)^3+'Curvas de Bojean'!$E73*(F22/$B$5)^2+'Curvas de Bojean'!$F73*(F22/$B$5)</f>
        <v>0.84322511028647307</v>
      </c>
      <c r="J22" s="200">
        <f t="shared" si="5"/>
        <v>246.79301382049061</v>
      </c>
      <c r="K22" s="200">
        <f t="shared" si="0"/>
        <v>264.90790867331754</v>
      </c>
      <c r="L22" s="200">
        <f t="shared" si="0"/>
        <v>298.68347744189214</v>
      </c>
      <c r="M22" s="216">
        <v>8</v>
      </c>
      <c r="O22" s="204" t="s">
        <v>514</v>
      </c>
      <c r="P22" s="238">
        <f ca="1">ABS(P21/P20)</f>
        <v>2.0602288227044872E-10</v>
      </c>
      <c r="R22" s="215">
        <v>10</v>
      </c>
      <c r="S22" s="205">
        <v>10</v>
      </c>
      <c r="T22" s="200">
        <f t="shared" si="6"/>
        <v>244.88109415495262</v>
      </c>
      <c r="U22" s="205">
        <f t="shared" si="14"/>
        <v>2448.8109415495264</v>
      </c>
      <c r="V22" s="200">
        <f t="shared" si="7"/>
        <v>296.77427969781309</v>
      </c>
      <c r="W22" s="205">
        <f t="shared" si="8"/>
        <v>51.893185542860465</v>
      </c>
      <c r="X22" s="205">
        <f t="shared" si="15"/>
        <v>518.93185542860465</v>
      </c>
      <c r="Y22" s="205">
        <f t="shared" si="9"/>
        <v>5189.3185542860465</v>
      </c>
      <c r="Z22" s="205">
        <f t="shared" si="10"/>
        <v>0.35209580246143607</v>
      </c>
      <c r="AA22" s="205">
        <f t="shared" si="11"/>
        <v>18.27137280599365</v>
      </c>
      <c r="AB22" s="205">
        <f t="shared" si="12"/>
        <v>263.1524669609463</v>
      </c>
      <c r="AC22" s="216">
        <f t="shared" si="13"/>
        <v>2631.5246696094628</v>
      </c>
    </row>
    <row r="23" spans="1:29" x14ac:dyDescent="0.35">
      <c r="A23" s="215">
        <v>12</v>
      </c>
      <c r="B23" s="200">
        <v>-0.74</v>
      </c>
      <c r="C23" s="205">
        <f t="shared" si="1"/>
        <v>-0.74</v>
      </c>
      <c r="D23" s="205">
        <f t="shared" si="2"/>
        <v>9.76</v>
      </c>
      <c r="E23" s="205">
        <f t="shared" si="3"/>
        <v>10.452158900531558</v>
      </c>
      <c r="F23" s="200">
        <f t="shared" si="4"/>
        <v>11.76</v>
      </c>
      <c r="G23" s="200">
        <f>'Curvas de Bojean'!C74*(D23/$B$5)^4+'Curvas de Bojean'!D74*(D23/$B$5)^3+'Curvas de Bojean'!E74*(D23/$B$5)^2+'Curvas de Bojean'!F74*(D23/$B$5)</f>
        <v>0.7109195220231711</v>
      </c>
      <c r="H23" s="200">
        <f>'Curvas de Bojean'!$C74*(E23/$B$5)^4+'Curvas de Bojean'!$D74*(E23/$B$5)^3+'Curvas de Bojean'!$E74*(E23/$B$5)^2+'Curvas de Bojean'!$F74*(E23/$B$5)</f>
        <v>0.76160131583681268</v>
      </c>
      <c r="I23" s="200">
        <f>'Curvas de Bojean'!$C74*(F23/$B$5)^4+'Curvas de Bojean'!$D74*(F23/$B$5)^3+'Curvas de Bojean'!$E74*(F23/$B$5)^2+'Curvas de Bojean'!$F74*(F23/$B$5)</f>
        <v>0.85742440005364129</v>
      </c>
      <c r="J23" s="200">
        <f t="shared" si="5"/>
        <v>251.81877582733426</v>
      </c>
      <c r="K23" s="200">
        <f t="shared" si="0"/>
        <v>269.77105717496704</v>
      </c>
      <c r="L23" s="200">
        <f t="shared" si="0"/>
        <v>303.71308720223482</v>
      </c>
      <c r="M23" s="216">
        <v>8</v>
      </c>
      <c r="P23" s="21"/>
      <c r="R23" s="215">
        <v>11</v>
      </c>
      <c r="S23" s="205">
        <v>11</v>
      </c>
      <c r="T23" s="200">
        <f t="shared" si="6"/>
        <v>246.79301382049061</v>
      </c>
      <c r="U23" s="205">
        <f t="shared" si="14"/>
        <v>2714.7231520253968</v>
      </c>
      <c r="V23" s="200">
        <f t="shared" si="7"/>
        <v>298.68347744189214</v>
      </c>
      <c r="W23" s="205">
        <f t="shared" si="8"/>
        <v>51.890463621401523</v>
      </c>
      <c r="X23" s="205">
        <f t="shared" si="15"/>
        <v>570.79509983541675</v>
      </c>
      <c r="Y23" s="205">
        <f t="shared" si="9"/>
        <v>6278.7460981895838</v>
      </c>
      <c r="Z23" s="205">
        <f t="shared" si="10"/>
        <v>0.34908762636360752</v>
      </c>
      <c r="AA23" s="205">
        <f t="shared" si="11"/>
        <v>18.114318776502184</v>
      </c>
      <c r="AB23" s="205">
        <f t="shared" si="12"/>
        <v>264.90733259699277</v>
      </c>
      <c r="AC23" s="216">
        <f t="shared" si="13"/>
        <v>2913.9806585669203</v>
      </c>
    </row>
    <row r="24" spans="1:29" x14ac:dyDescent="0.35">
      <c r="A24" s="215">
        <v>13</v>
      </c>
      <c r="B24" s="200">
        <v>-0.47</v>
      </c>
      <c r="C24" s="205">
        <f t="shared" si="1"/>
        <v>-0.47</v>
      </c>
      <c r="D24" s="205">
        <f t="shared" si="2"/>
        <v>10.029999999999999</v>
      </c>
      <c r="E24" s="205">
        <f t="shared" si="3"/>
        <v>10.716142548335901</v>
      </c>
      <c r="F24" s="200">
        <f t="shared" si="4"/>
        <v>12.03</v>
      </c>
      <c r="G24" s="200">
        <f>'Curvas de Bojean'!C75*(D24/$B$5)^4+'Curvas de Bojean'!D75*(D24/$B$5)^3+'Curvas de Bojean'!E75*(D24/$B$5)^2+'Curvas de Bojean'!F75*(D24/$B$5)</f>
        <v>0.72821428436792512</v>
      </c>
      <c r="H24" s="200">
        <f>'Curvas de Bojean'!$C75*(E24/$B$5)^4+'Curvas de Bojean'!$D75*(E24/$B$5)^3+'Curvas de Bojean'!$E75*(E24/$B$5)^2+'Curvas de Bojean'!$F75*(E24/$B$5)</f>
        <v>0.77845329248156525</v>
      </c>
      <c r="I24" s="200">
        <f>'Curvas de Bojean'!$C75*(F24/$B$5)^4+'Curvas de Bojean'!$D75*(F24/$B$5)^3+'Curvas de Bojean'!$E75*(F24/$B$5)^2+'Curvas de Bojean'!$F75*(F24/$B$5)</f>
        <v>0.8748014185124553</v>
      </c>
      <c r="J24" s="200">
        <f t="shared" si="5"/>
        <v>257.94485022389398</v>
      </c>
      <c r="K24" s="200">
        <f t="shared" si="0"/>
        <v>275.74028997487051</v>
      </c>
      <c r="L24" s="200">
        <f t="shared" si="0"/>
        <v>309.86829799652344</v>
      </c>
      <c r="M24" s="216">
        <v>8</v>
      </c>
      <c r="P24" s="21"/>
      <c r="R24" s="215">
        <v>12</v>
      </c>
      <c r="S24" s="205">
        <v>12</v>
      </c>
      <c r="T24" s="200">
        <f t="shared" si="6"/>
        <v>251.81877582733426</v>
      </c>
      <c r="U24" s="205">
        <f t="shared" si="14"/>
        <v>3021.8253099280109</v>
      </c>
      <c r="V24" s="200">
        <f t="shared" si="7"/>
        <v>303.71308720223482</v>
      </c>
      <c r="W24" s="205">
        <f t="shared" si="8"/>
        <v>51.894311374900553</v>
      </c>
      <c r="X24" s="205">
        <f t="shared" si="15"/>
        <v>622.73173649880664</v>
      </c>
      <c r="Y24" s="205">
        <f t="shared" si="9"/>
        <v>7472.7808379856797</v>
      </c>
      <c r="Z24" s="205">
        <f t="shared" si="10"/>
        <v>0.34607945026577891</v>
      </c>
      <c r="AA24" s="205">
        <f t="shared" si="11"/>
        <v>17.95955475254674</v>
      </c>
      <c r="AB24" s="205">
        <f t="shared" si="12"/>
        <v>269.77833057988101</v>
      </c>
      <c r="AC24" s="216">
        <f t="shared" si="13"/>
        <v>3237.3399669585724</v>
      </c>
    </row>
    <row r="25" spans="1:29" x14ac:dyDescent="0.35">
      <c r="A25" s="215">
        <v>14</v>
      </c>
      <c r="B25" s="200">
        <v>-0.16</v>
      </c>
      <c r="C25" s="205">
        <f t="shared" si="1"/>
        <v>-0.16</v>
      </c>
      <c r="D25" s="205">
        <f t="shared" si="2"/>
        <v>10.34</v>
      </c>
      <c r="E25" s="205">
        <f t="shared" si="3"/>
        <v>11.020126196140243</v>
      </c>
      <c r="F25" s="200">
        <f t="shared" si="4"/>
        <v>12.34</v>
      </c>
      <c r="G25" s="200">
        <f>'Curvas de Bojean'!C76*(D25/$B$5)^4+'Curvas de Bojean'!D76*(D25/$B$5)^3+'Curvas de Bojean'!E76*(D25/$B$5)^2+'Curvas de Bojean'!F76*(D25/$B$5)</f>
        <v>0.74088331875940383</v>
      </c>
      <c r="H25" s="200">
        <f>'Curvas de Bojean'!$C76*(E25/$B$5)^4+'Curvas de Bojean'!$D76*(E25/$B$5)^3+'Curvas de Bojean'!$E76*(E25/$B$5)^2+'Curvas de Bojean'!$F76*(E25/$B$5)</f>
        <v>0.79048572646427673</v>
      </c>
      <c r="I25" s="200">
        <f>'Curvas de Bojean'!$C76*(F25/$B$5)^4+'Curvas de Bojean'!$D76*(F25/$B$5)^3+'Curvas de Bojean'!$E76*(F25/$B$5)^2+'Curvas de Bojean'!$F76*(F25/$B$5)</f>
        <v>0.88702685444183038</v>
      </c>
      <c r="J25" s="200">
        <f t="shared" si="5"/>
        <v>262.43241967802498</v>
      </c>
      <c r="K25" s="200">
        <f t="shared" si="0"/>
        <v>280.00236564150396</v>
      </c>
      <c r="L25" s="200">
        <f t="shared" si="0"/>
        <v>314.19873796099301</v>
      </c>
      <c r="M25" s="216">
        <v>8</v>
      </c>
      <c r="O25" s="204" t="s">
        <v>517</v>
      </c>
      <c r="P25" s="200">
        <f>E11-E31</f>
        <v>0.12032704391314297</v>
      </c>
      <c r="R25" s="215">
        <v>13</v>
      </c>
      <c r="S25" s="205">
        <v>13</v>
      </c>
      <c r="T25" s="200">
        <f t="shared" si="6"/>
        <v>257.94485022389398</v>
      </c>
      <c r="U25" s="205">
        <f t="shared" si="14"/>
        <v>3353.2830529106218</v>
      </c>
      <c r="V25" s="200">
        <f t="shared" si="7"/>
        <v>309.86829799652344</v>
      </c>
      <c r="W25" s="205">
        <f t="shared" si="8"/>
        <v>51.923447772629459</v>
      </c>
      <c r="X25" s="205">
        <f t="shared" si="15"/>
        <v>675.00482104418302</v>
      </c>
      <c r="Y25" s="205">
        <f t="shared" si="9"/>
        <v>8775.062673574379</v>
      </c>
      <c r="Z25" s="205">
        <f t="shared" si="10"/>
        <v>0.34307127416795036</v>
      </c>
      <c r="AA25" s="205">
        <f t="shared" si="11"/>
        <v>17.813443386549011</v>
      </c>
      <c r="AB25" s="205">
        <f t="shared" si="12"/>
        <v>275.75829361044299</v>
      </c>
      <c r="AC25" s="216">
        <f t="shared" si="13"/>
        <v>3584.8578169357588</v>
      </c>
    </row>
    <row r="26" spans="1:29" x14ac:dyDescent="0.35">
      <c r="A26" s="215">
        <v>15</v>
      </c>
      <c r="B26" s="200">
        <v>0.15</v>
      </c>
      <c r="C26" s="205">
        <f t="shared" si="1"/>
        <v>0.15</v>
      </c>
      <c r="D26" s="205">
        <f t="shared" si="2"/>
        <v>10.65</v>
      </c>
      <c r="E26" s="205">
        <f t="shared" si="3"/>
        <v>11.324109843944587</v>
      </c>
      <c r="F26" s="200">
        <f t="shared" si="4"/>
        <v>12.65</v>
      </c>
      <c r="G26" s="200">
        <f>'Curvas de Bojean'!C77*(D26/$B$5)^4+'Curvas de Bojean'!D77*(D26/$B$5)^3+'Curvas de Bojean'!E77*(D26/$B$5)^2+'Curvas de Bojean'!F77*(D26/$B$5)</f>
        <v>0.73710854602103359</v>
      </c>
      <c r="H26" s="200">
        <f>'Curvas de Bojean'!$C77*(E26/$B$5)^4+'Curvas de Bojean'!$D77*(E26/$B$5)^3+'Curvas de Bojean'!$E77*(E26/$B$5)^2+'Curvas de Bojean'!$F77*(E26/$B$5)</f>
        <v>0.78563092399669898</v>
      </c>
      <c r="I26" s="200">
        <f>'Curvas de Bojean'!$C77*(F26/$B$5)^4+'Curvas de Bojean'!$D77*(F26/$B$5)^3+'Curvas de Bojean'!$E77*(F26/$B$5)^2+'Curvas de Bojean'!$F77*(F26/$B$5)</f>
        <v>0.88152291274567385</v>
      </c>
      <c r="J26" s="200">
        <f t="shared" si="5"/>
        <v>261.09533633658339</v>
      </c>
      <c r="K26" s="200">
        <f t="shared" si="0"/>
        <v>278.28271893551704</v>
      </c>
      <c r="L26" s="200">
        <f t="shared" si="0"/>
        <v>312.2491560220883</v>
      </c>
      <c r="M26" s="216">
        <v>8</v>
      </c>
      <c r="R26" s="215">
        <v>14</v>
      </c>
      <c r="S26" s="205">
        <v>14</v>
      </c>
      <c r="T26" s="200">
        <f t="shared" si="6"/>
        <v>262.43241967802498</v>
      </c>
      <c r="U26" s="205">
        <f t="shared" si="14"/>
        <v>3674.05387549235</v>
      </c>
      <c r="V26" s="200">
        <f t="shared" si="7"/>
        <v>314.19873796099301</v>
      </c>
      <c r="W26" s="205">
        <f t="shared" si="8"/>
        <v>51.76631828296803</v>
      </c>
      <c r="X26" s="205">
        <f t="shared" si="15"/>
        <v>724.72845596155241</v>
      </c>
      <c r="Y26" s="205">
        <f t="shared" si="9"/>
        <v>10146.198383461733</v>
      </c>
      <c r="Z26" s="205">
        <f t="shared" si="10"/>
        <v>0.34006309807012175</v>
      </c>
      <c r="AA26" s="205">
        <f t="shared" si="11"/>
        <v>17.603814570990092</v>
      </c>
      <c r="AB26" s="205">
        <f t="shared" si="12"/>
        <v>280.03623424901508</v>
      </c>
      <c r="AC26" s="216">
        <f t="shared" si="13"/>
        <v>3920.5072794862112</v>
      </c>
    </row>
    <row r="27" spans="1:29" x14ac:dyDescent="0.35">
      <c r="A27" s="215">
        <v>16</v>
      </c>
      <c r="B27" s="200">
        <v>0.44</v>
      </c>
      <c r="C27" s="205">
        <f t="shared" si="1"/>
        <v>0.44</v>
      </c>
      <c r="D27" s="205">
        <f t="shared" si="2"/>
        <v>10.94</v>
      </c>
      <c r="E27" s="205">
        <f t="shared" si="3"/>
        <v>11.60809349174893</v>
      </c>
      <c r="F27" s="200">
        <f t="shared" si="4"/>
        <v>12.94</v>
      </c>
      <c r="G27" s="200">
        <f>'Curvas de Bojean'!C78*(D27/$B$5)^4+'Curvas de Bojean'!D78*(D27/$B$5)^3+'Curvas de Bojean'!E78*(D27/$B$5)^2+'Curvas de Bojean'!F78*(D27/$B$5)</f>
        <v>0.6960771797103753</v>
      </c>
      <c r="H27" s="200">
        <f>'Curvas de Bojean'!$C78*(E27/$B$5)^4+'Curvas de Bojean'!$D78*(E27/$B$5)^3+'Curvas de Bojean'!$E78*(E27/$B$5)^2+'Curvas de Bojean'!$F78*(E27/$B$5)</f>
        <v>0.74178042392803722</v>
      </c>
      <c r="I27" s="200">
        <f>'Curvas de Bojean'!$C78*(F27/$B$5)^4+'Curvas de Bojean'!$D78*(F27/$B$5)^3+'Curvas de Bojean'!$E78*(F27/$B$5)^2+'Curvas de Bojean'!$F78*(F27/$B$5)</f>
        <v>0.833862553331983</v>
      </c>
      <c r="J27" s="200">
        <f t="shared" si="5"/>
        <v>246.56138683204844</v>
      </c>
      <c r="K27" s="200">
        <f t="shared" ref="K27:L31" si="16">($K$7)*H27</f>
        <v>262.75018831196365</v>
      </c>
      <c r="L27" s="200">
        <f t="shared" si="16"/>
        <v>295.36711383411864</v>
      </c>
      <c r="M27" s="216">
        <v>8</v>
      </c>
      <c r="R27" s="215">
        <v>15</v>
      </c>
      <c r="S27" s="205">
        <v>15</v>
      </c>
      <c r="T27" s="200">
        <f t="shared" si="6"/>
        <v>261.09533633658339</v>
      </c>
      <c r="U27" s="205">
        <f t="shared" si="14"/>
        <v>3916.4300450487508</v>
      </c>
      <c r="V27" s="200">
        <f t="shared" si="7"/>
        <v>312.2491560220883</v>
      </c>
      <c r="W27" s="205">
        <f t="shared" si="8"/>
        <v>51.153819685504914</v>
      </c>
      <c r="X27" s="205">
        <f t="shared" si="15"/>
        <v>767.3072952825737</v>
      </c>
      <c r="Y27" s="205">
        <f t="shared" si="9"/>
        <v>11509.609429238606</v>
      </c>
      <c r="Z27" s="205">
        <f t="shared" si="10"/>
        <v>0.3370549219722932</v>
      </c>
      <c r="AA27" s="205">
        <f t="shared" si="11"/>
        <v>17.241646702682615</v>
      </c>
      <c r="AB27" s="205">
        <f t="shared" si="12"/>
        <v>278.33698303926599</v>
      </c>
      <c r="AC27" s="216">
        <f t="shared" si="13"/>
        <v>4175.05474558899</v>
      </c>
    </row>
    <row r="28" spans="1:29" x14ac:dyDescent="0.35">
      <c r="A28" s="215">
        <v>17</v>
      </c>
      <c r="B28" s="200">
        <v>0.68</v>
      </c>
      <c r="C28" s="205">
        <f t="shared" si="1"/>
        <v>0.68</v>
      </c>
      <c r="D28" s="205">
        <f t="shared" si="2"/>
        <v>11.18</v>
      </c>
      <c r="E28" s="205">
        <f t="shared" si="3"/>
        <v>11.842077139553272</v>
      </c>
      <c r="F28" s="200">
        <f t="shared" si="4"/>
        <v>13.18</v>
      </c>
      <c r="G28" s="200">
        <f>'Curvas de Bojean'!C79*(D28/$B$5)^4+'Curvas de Bojean'!D79*(D28/$B$5)^3+'Curvas de Bojean'!E79*(D28/$B$5)^2+'Curvas de Bojean'!F79*(D28/$B$5)</f>
        <v>0.602541764789993</v>
      </c>
      <c r="H28" s="200">
        <f>'Curvas de Bojean'!$C79*(E28/$B$5)^4+'Curvas de Bojean'!$D79*(E28/$B$5)^3+'Curvas de Bojean'!$E79*(E28/$B$5)^2+'Curvas de Bojean'!$F79*(E28/$B$5)</f>
        <v>0.64255434955691704</v>
      </c>
      <c r="I28" s="200">
        <f>'Curvas de Bojean'!$C79*(F28/$B$5)^4+'Curvas de Bojean'!$D79*(F28/$B$5)^3+'Curvas de Bojean'!$E79*(F28/$B$5)^2+'Curvas de Bojean'!$F79*(F28/$B$5)</f>
        <v>0.72519189556644403</v>
      </c>
      <c r="J28" s="200">
        <f t="shared" si="5"/>
        <v>213.42968492756091</v>
      </c>
      <c r="K28" s="200">
        <f t="shared" si="16"/>
        <v>227.60276612952271</v>
      </c>
      <c r="L28" s="200">
        <f t="shared" si="16"/>
        <v>256.87427300033255</v>
      </c>
      <c r="M28" s="216">
        <v>8</v>
      </c>
      <c r="R28" s="215">
        <v>16</v>
      </c>
      <c r="S28" s="205">
        <v>16</v>
      </c>
      <c r="T28" s="200">
        <f t="shared" si="6"/>
        <v>246.56138683204844</v>
      </c>
      <c r="U28" s="205">
        <f t="shared" si="14"/>
        <v>3944.9821893127751</v>
      </c>
      <c r="V28" s="200">
        <f t="shared" si="7"/>
        <v>295.36711383411864</v>
      </c>
      <c r="W28" s="205">
        <f t="shared" si="8"/>
        <v>48.805727002070199</v>
      </c>
      <c r="X28" s="205">
        <f t="shared" si="15"/>
        <v>780.89163203312319</v>
      </c>
      <c r="Y28" s="205">
        <f t="shared" si="9"/>
        <v>12494.266112529971</v>
      </c>
      <c r="Z28" s="205">
        <f t="shared" si="10"/>
        <v>0.33404674587446459</v>
      </c>
      <c r="AA28" s="205">
        <f t="shared" si="11"/>
        <v>16.303394285079037</v>
      </c>
      <c r="AB28" s="205">
        <f t="shared" si="12"/>
        <v>262.86478111712745</v>
      </c>
      <c r="AC28" s="216">
        <f t="shared" si="13"/>
        <v>4205.8364978740392</v>
      </c>
    </row>
    <row r="29" spans="1:29" x14ac:dyDescent="0.35">
      <c r="A29" s="215">
        <v>18</v>
      </c>
      <c r="B29" s="200">
        <v>0.85</v>
      </c>
      <c r="C29" s="205">
        <f t="shared" si="1"/>
        <v>0.85</v>
      </c>
      <c r="D29" s="205">
        <f t="shared" si="2"/>
        <v>11.35</v>
      </c>
      <c r="E29" s="205">
        <f t="shared" si="3"/>
        <v>12.006060787357615</v>
      </c>
      <c r="F29" s="200">
        <f t="shared" si="4"/>
        <v>13.35</v>
      </c>
      <c r="G29" s="200">
        <f>'Curvas de Bojean'!C80*(D29/$B$5)^4+'Curvas de Bojean'!D80*(D29/$B$5)^3+'Curvas de Bojean'!E80*(D29/$B$5)^2+'Curvas de Bojean'!F80*(D29/$B$5)</f>
        <v>0.45570202476828547</v>
      </c>
      <c r="H29" s="200">
        <f>'Curvas de Bojean'!$C80*(E29/$B$5)^4+'Curvas de Bojean'!$D80*(E29/$B$5)^3+'Curvas de Bojean'!$E80*(E29/$B$5)^2+'Curvas de Bojean'!$F80*(E29/$B$5)</f>
        <v>0.48600305851683051</v>
      </c>
      <c r="I29" s="200">
        <f>'Curvas de Bojean'!$C80*(F29/$B$5)^4+'Curvas de Bojean'!$D80*(F29/$B$5)^3+'Curvas de Bojean'!$E80*(F29/$B$5)^2+'Curvas de Bojean'!$F80*(F29/$B$5)</f>
        <v>0.55026158222140498</v>
      </c>
      <c r="J29" s="200">
        <f t="shared" si="5"/>
        <v>161.41676021585886</v>
      </c>
      <c r="K29" s="200">
        <f t="shared" si="16"/>
        <v>172.14985867283534</v>
      </c>
      <c r="L29" s="200">
        <f t="shared" si="16"/>
        <v>194.91122936878631</v>
      </c>
      <c r="M29" s="216">
        <v>8</v>
      </c>
      <c r="R29" s="215">
        <v>17</v>
      </c>
      <c r="S29" s="205">
        <v>17</v>
      </c>
      <c r="T29" s="200">
        <f t="shared" si="6"/>
        <v>213.42968492756091</v>
      </c>
      <c r="U29" s="205">
        <f t="shared" si="14"/>
        <v>3628.3046437685357</v>
      </c>
      <c r="V29" s="200">
        <f t="shared" si="7"/>
        <v>256.87427300033255</v>
      </c>
      <c r="W29" s="205">
        <f t="shared" si="8"/>
        <v>43.444588072771637</v>
      </c>
      <c r="X29" s="205">
        <f t="shared" si="15"/>
        <v>738.55799723711789</v>
      </c>
      <c r="Y29" s="205">
        <f t="shared" si="9"/>
        <v>12555.485953031004</v>
      </c>
      <c r="Z29" s="205">
        <f t="shared" si="10"/>
        <v>0.33103856977663604</v>
      </c>
      <c r="AA29" s="205">
        <f t="shared" si="11"/>
        <v>14.381834300145423</v>
      </c>
      <c r="AB29" s="205">
        <f t="shared" si="12"/>
        <v>227.81151922770633</v>
      </c>
      <c r="AC29" s="216">
        <f t="shared" si="13"/>
        <v>3872.7958268710076</v>
      </c>
    </row>
    <row r="30" spans="1:29" x14ac:dyDescent="0.35">
      <c r="A30" s="215">
        <v>19</v>
      </c>
      <c r="B30" s="200">
        <v>0.96</v>
      </c>
      <c r="C30" s="205">
        <f t="shared" si="1"/>
        <v>0.96</v>
      </c>
      <c r="D30" s="205">
        <f t="shared" si="2"/>
        <v>11.46</v>
      </c>
      <c r="E30" s="205">
        <f t="shared" si="3"/>
        <v>12.110044435161958</v>
      </c>
      <c r="F30" s="200">
        <f t="shared" si="4"/>
        <v>13.46</v>
      </c>
      <c r="G30" s="200">
        <f>'Curvas de Bojean'!C81*(D30/$B$5)^4+'Curvas de Bojean'!D81*(D30/$B$5)^3+'Curvas de Bojean'!E81*(D30/$B$5)^2+'Curvas de Bojean'!F81*(D30/$B$5)</f>
        <v>0.2453388137789439</v>
      </c>
      <c r="H30" s="200">
        <f>'Curvas de Bojean'!$C81*(E30/$B$5)^4+'Curvas de Bojean'!$D81*(E30/$B$5)^3+'Curvas de Bojean'!$E81*(E30/$B$5)^2+'Curvas de Bojean'!$F81*(E30/$B$5)</f>
        <v>0.26215182056502062</v>
      </c>
      <c r="I30" s="200">
        <f>'Curvas de Bojean'!$C81*(F30/$B$5)^4+'Curvas de Bojean'!$D81*(F30/$B$5)^3+'Curvas de Bojean'!$E81*(F30/$B$5)^2+'Curvas de Bojean'!$F81*(F30/$B$5)</f>
        <v>0.29943007281267292</v>
      </c>
      <c r="J30" s="200">
        <f t="shared" si="5"/>
        <v>86.902831944922099</v>
      </c>
      <c r="K30" s="200">
        <f t="shared" si="16"/>
        <v>92.858261013458076</v>
      </c>
      <c r="L30" s="200">
        <f t="shared" si="16"/>
        <v>106.06279901695999</v>
      </c>
      <c r="M30" s="216">
        <v>8</v>
      </c>
      <c r="R30" s="215">
        <v>18</v>
      </c>
      <c r="S30" s="205">
        <v>18</v>
      </c>
      <c r="T30" s="200">
        <f t="shared" si="6"/>
        <v>161.41676021585886</v>
      </c>
      <c r="U30" s="205">
        <f t="shared" si="14"/>
        <v>2905.5016838854594</v>
      </c>
      <c r="V30" s="200">
        <f t="shared" si="7"/>
        <v>194.91122936878631</v>
      </c>
      <c r="W30" s="205">
        <f t="shared" si="8"/>
        <v>33.494469152927451</v>
      </c>
      <c r="X30" s="205">
        <f t="shared" si="15"/>
        <v>602.90044475269406</v>
      </c>
      <c r="Y30" s="205">
        <f t="shared" si="9"/>
        <v>10852.208005548493</v>
      </c>
      <c r="Z30" s="205">
        <f t="shared" si="10"/>
        <v>0.32803039367880743</v>
      </c>
      <c r="AA30" s="205">
        <f t="shared" si="11"/>
        <v>10.987203902297463</v>
      </c>
      <c r="AB30" s="205">
        <f t="shared" si="12"/>
        <v>172.40396411815632</v>
      </c>
      <c r="AC30" s="216">
        <f t="shared" si="13"/>
        <v>3103.271354126814</v>
      </c>
    </row>
    <row r="31" spans="1:29" ht="15" thickBot="1" x14ac:dyDescent="0.4">
      <c r="A31" s="225">
        <v>20</v>
      </c>
      <c r="B31" s="227">
        <v>1</v>
      </c>
      <c r="C31" s="226">
        <f t="shared" si="1"/>
        <v>1</v>
      </c>
      <c r="D31" s="226">
        <f t="shared" si="2"/>
        <v>11.5</v>
      </c>
      <c r="E31" s="205">
        <f t="shared" si="3"/>
        <v>12.144028082966301</v>
      </c>
      <c r="F31" s="227">
        <f t="shared" si="4"/>
        <v>13.5</v>
      </c>
      <c r="G31" s="200">
        <f>'Curvas de Bojean'!C82*(D31/$B$5)^4+'Curvas de Bojean'!D82*(D31/$B$5)^3+'Curvas de Bojean'!E82*(D31/$B$5)^2+'Curvas de Bojean'!F82*(D31/$B$5)</f>
        <v>1.4289218581825932E-3</v>
      </c>
      <c r="H31" s="200">
        <f>'Curvas de Bojean'!$C82*(E31/$B$5)^4+'Curvas de Bojean'!$D82*(E31/$B$5)^3+'Curvas de Bojean'!$E82*(E31/$B$5)^2+'Curvas de Bojean'!$F82*(E31/$B$5)</f>
        <v>2.6338596052175138E-3</v>
      </c>
      <c r="I31" s="200">
        <f>'Curvas de Bojean'!$C82*(F31/$B$5)^4+'Curvas de Bojean'!$D82*(F31/$B$5)^3+'Curvas de Bojean'!$E82*(F31/$B$5)^2+'Curvas de Bojean'!$F82*(F31/$B$5)</f>
        <v>6.8167305785998304E-3</v>
      </c>
      <c r="J31" s="200">
        <f t="shared" si="5"/>
        <v>0.50614639482179302</v>
      </c>
      <c r="K31" s="200">
        <f t="shared" si="16"/>
        <v>0.93295412622713525</v>
      </c>
      <c r="L31" s="200">
        <f t="shared" si="16"/>
        <v>2.4145922235510318</v>
      </c>
      <c r="M31" s="216">
        <v>8</v>
      </c>
      <c r="R31" s="215">
        <v>19</v>
      </c>
      <c r="S31" s="205">
        <v>19</v>
      </c>
      <c r="T31" s="200">
        <f t="shared" si="6"/>
        <v>86.902831944922099</v>
      </c>
      <c r="U31" s="205">
        <f t="shared" si="14"/>
        <v>1651.15380695352</v>
      </c>
      <c r="V31" s="200">
        <f t="shared" si="7"/>
        <v>106.06279901695999</v>
      </c>
      <c r="W31" s="205">
        <f t="shared" si="8"/>
        <v>19.159967072037887</v>
      </c>
      <c r="X31" s="205">
        <f t="shared" si="15"/>
        <v>364.03937436871985</v>
      </c>
      <c r="Y31" s="205">
        <f t="shared" si="9"/>
        <v>6916.7481130056767</v>
      </c>
      <c r="Z31" s="205">
        <f t="shared" si="10"/>
        <v>0.32502221758097888</v>
      </c>
      <c r="AA31" s="205">
        <f t="shared" si="11"/>
        <v>6.2274149865322892</v>
      </c>
      <c r="AB31" s="205">
        <f t="shared" si="12"/>
        <v>93.130246931454394</v>
      </c>
      <c r="AC31" s="216">
        <f t="shared" si="13"/>
        <v>1769.4746916976335</v>
      </c>
    </row>
    <row r="32" spans="1:29" ht="15" thickBot="1" x14ac:dyDescent="0.4">
      <c r="G32" t="b" cm="1">
        <f t="array" ref="G32">SUMPRODUCT(--(G11:G31 &gt; H11:H31)) &gt; 0</f>
        <v>0</v>
      </c>
      <c r="K32" t="b" cm="1">
        <f t="array" ref="K32">SUMPRODUCT(--(K11:K31 &gt; L11:L31)) &gt; 0</f>
        <v>0</v>
      </c>
      <c r="R32" s="225">
        <v>20</v>
      </c>
      <c r="S32" s="226">
        <v>20</v>
      </c>
      <c r="T32" s="200">
        <f t="shared" si="6"/>
        <v>0.50614639482179302</v>
      </c>
      <c r="U32" s="226">
        <f>T32*S32</f>
        <v>10.122927896435861</v>
      </c>
      <c r="V32" s="200">
        <f t="shared" si="7"/>
        <v>2.4145922235510318</v>
      </c>
      <c r="W32" s="226">
        <f>V32-T32</f>
        <v>1.9084458287292387</v>
      </c>
      <c r="X32" s="226">
        <f>W32*S32</f>
        <v>38.168916574584777</v>
      </c>
      <c r="Y32" s="226">
        <f>X32*S32</f>
        <v>763.37833149169558</v>
      </c>
      <c r="Z32" s="226">
        <f t="shared" si="10"/>
        <v>0.32201404148315027</v>
      </c>
      <c r="AA32" s="226">
        <f>W32*Z32</f>
        <v>0.61454635426076221</v>
      </c>
      <c r="AB32" s="226">
        <f>T32+AA32</f>
        <v>1.1206927490825551</v>
      </c>
      <c r="AC32" s="228">
        <f>AB32*S32</f>
        <v>22.413854981651102</v>
      </c>
    </row>
    <row r="33" spans="7:11" x14ac:dyDescent="0.35">
      <c r="G33" t="s">
        <v>527</v>
      </c>
      <c r="K33" t="s">
        <v>526</v>
      </c>
    </row>
    <row r="34" spans="7:11" x14ac:dyDescent="0.35">
      <c r="K34" s="236"/>
    </row>
  </sheetData>
  <mergeCells count="1">
    <mergeCell ref="A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11E-80D6-45AA-9ABB-45589B269036}">
  <dimension ref="A1:AC34"/>
  <sheetViews>
    <sheetView topLeftCell="A15" zoomScale="55" zoomScaleNormal="55" workbookViewId="0">
      <selection activeCell="M25" sqref="M25"/>
    </sheetView>
  </sheetViews>
  <sheetFormatPr defaultRowHeight="14.5" x14ac:dyDescent="0.35"/>
  <cols>
    <col min="2" max="2" width="21.54296875" bestFit="1" customWidth="1"/>
    <col min="3" max="3" width="16.1796875" bestFit="1" customWidth="1"/>
    <col min="4" max="4" width="10.26953125" bestFit="1" customWidth="1"/>
    <col min="11" max="11" width="17.453125" bestFit="1" customWidth="1"/>
    <col min="16" max="16" width="12.7265625" bestFit="1" customWidth="1"/>
  </cols>
  <sheetData>
    <row r="1" spans="1:29" x14ac:dyDescent="0.35">
      <c r="A1" s="380" t="s">
        <v>519</v>
      </c>
      <c r="B1" s="380"/>
      <c r="C1" s="380"/>
      <c r="D1" s="380"/>
      <c r="E1" s="380"/>
    </row>
    <row r="4" spans="1:29" x14ac:dyDescent="0.35">
      <c r="A4" s="204" t="s">
        <v>6</v>
      </c>
      <c r="B4" s="200">
        <f>Prelude!F2</f>
        <v>9.9</v>
      </c>
      <c r="D4" s="204" t="s">
        <v>490</v>
      </c>
      <c r="E4" s="205">
        <v>10</v>
      </c>
      <c r="G4" s="204" t="s">
        <v>9</v>
      </c>
      <c r="H4" s="239">
        <v>1.2825178273103255</v>
      </c>
    </row>
    <row r="5" spans="1:29" x14ac:dyDescent="0.35">
      <c r="A5" s="204" t="s">
        <v>5</v>
      </c>
      <c r="B5" s="200">
        <f>Prelude!E2</f>
        <v>13.7</v>
      </c>
      <c r="D5" s="204" t="s">
        <v>491</v>
      </c>
      <c r="E5" s="200">
        <f>E4+H6</f>
        <v>12</v>
      </c>
      <c r="G5" s="204" t="s">
        <v>10</v>
      </c>
      <c r="H5" s="239">
        <v>-0.47986263279197777</v>
      </c>
    </row>
    <row r="6" spans="1:29" x14ac:dyDescent="0.35">
      <c r="A6" s="204" t="s">
        <v>4</v>
      </c>
      <c r="B6" s="200">
        <f>Prelude!C2</f>
        <v>187</v>
      </c>
      <c r="D6" s="204" t="s">
        <v>492</v>
      </c>
      <c r="E6" s="205">
        <f>B6/20</f>
        <v>9.35</v>
      </c>
      <c r="G6" s="204" t="s">
        <v>493</v>
      </c>
      <c r="H6" s="200">
        <v>2</v>
      </c>
    </row>
    <row r="7" spans="1:29" x14ac:dyDescent="0.35">
      <c r="J7" s="1" t="s">
        <v>522</v>
      </c>
      <c r="K7" s="1">
        <f>'Curvas de Bojean'!K17*2</f>
        <v>354.2155870339522</v>
      </c>
    </row>
    <row r="9" spans="1:29" ht="15" thickBot="1" x14ac:dyDescent="0.4"/>
    <row r="10" spans="1:29" x14ac:dyDescent="0.35">
      <c r="A10" s="207" t="s">
        <v>58</v>
      </c>
      <c r="B10" s="208" t="s">
        <v>520</v>
      </c>
      <c r="C10" s="208" t="s">
        <v>521</v>
      </c>
      <c r="D10" s="208" t="s">
        <v>494</v>
      </c>
      <c r="E10" s="208" t="s">
        <v>495</v>
      </c>
      <c r="F10" s="208" t="s">
        <v>496</v>
      </c>
      <c r="G10" s="208" t="s">
        <v>497</v>
      </c>
      <c r="H10" s="208" t="s">
        <v>498</v>
      </c>
      <c r="I10" s="208" t="s">
        <v>499</v>
      </c>
      <c r="J10" s="208" t="s">
        <v>500</v>
      </c>
      <c r="K10" s="208" t="s">
        <v>501</v>
      </c>
      <c r="L10" s="208" t="s">
        <v>502</v>
      </c>
      <c r="M10" s="210" t="s">
        <v>503</v>
      </c>
      <c r="R10" s="211" t="s">
        <v>58</v>
      </c>
      <c r="S10" s="212" t="s">
        <v>94</v>
      </c>
      <c r="T10" s="213" t="s">
        <v>504</v>
      </c>
      <c r="U10" s="208" t="s">
        <v>505</v>
      </c>
      <c r="V10" s="213" t="s">
        <v>506</v>
      </c>
      <c r="W10" s="213" t="s">
        <v>507</v>
      </c>
      <c r="X10" s="213" t="s">
        <v>508</v>
      </c>
      <c r="Y10" s="213" t="s">
        <v>509</v>
      </c>
      <c r="Z10" s="213" t="s">
        <v>510</v>
      </c>
      <c r="AA10" s="213" t="s">
        <v>511</v>
      </c>
      <c r="AB10" s="213" t="s">
        <v>512</v>
      </c>
      <c r="AC10" s="214" t="s">
        <v>513</v>
      </c>
    </row>
    <row r="11" spans="1:29" x14ac:dyDescent="0.35">
      <c r="A11" s="215">
        <v>0</v>
      </c>
      <c r="B11" s="200">
        <v>-1</v>
      </c>
      <c r="C11" s="205">
        <f>B11</f>
        <v>-1</v>
      </c>
      <c r="D11" s="205">
        <f>$E$4+C11</f>
        <v>9</v>
      </c>
      <c r="E11" s="205">
        <f>(D11)+($H$4)+(($H$5)*((S12*$E$6)/($B$6)))</f>
        <v>10.282517827310325</v>
      </c>
      <c r="F11" s="200">
        <f>$E$5+C11</f>
        <v>11</v>
      </c>
      <c r="G11" s="200">
        <f>'Curvas de Bojean'!C62*(D11/$B$5)^4+'Curvas de Bojean'!D62*(D11/$B$5)^3+'Curvas de Bojean'!E62*(D11/$B$5)^2+'Curvas de Bojean'!F62*(D11/$B$5)</f>
        <v>3.8052146983999858E-3</v>
      </c>
      <c r="H11" s="200">
        <f>'Curvas de Bojean'!$C62*(E11/$B$5)^4+'Curvas de Bojean'!$D62*(E11/$B$5)^3+'Curvas de Bojean'!$E62*(E11/$B$5)^2+'Curvas de Bojean'!$F62*(E11/$B$5)</f>
        <v>1.1626181990481236E-2</v>
      </c>
      <c r="I11" s="200">
        <f>'Curvas de Bojean'!$C62*(F11/$B$5)^4+'Curvas de Bojean'!$D62*(F11/$B$5)^3+'Curvas de Bojean'!$E62*(F11/$B$5)^2+'Curvas de Bojean'!$F62*(F11/$B$5)</f>
        <v>1.8661105485392966E-2</v>
      </c>
      <c r="J11" s="200">
        <f>($K$7)*G11</f>
        <v>1.3478663581839743</v>
      </c>
      <c r="K11" s="200">
        <f t="shared" ref="K11:L26" si="0">($K$7)*H11</f>
        <v>4.1181748787218737</v>
      </c>
      <c r="L11" s="200">
        <f t="shared" si="0"/>
        <v>6.6100544342109755</v>
      </c>
      <c r="M11" s="216">
        <v>8</v>
      </c>
      <c r="R11" s="217"/>
      <c r="S11" s="218"/>
      <c r="T11" s="203" t="s">
        <v>2</v>
      </c>
      <c r="U11" s="219"/>
      <c r="V11" s="203" t="s">
        <v>96</v>
      </c>
      <c r="W11" s="203" t="s">
        <v>97</v>
      </c>
      <c r="X11" s="203" t="s">
        <v>5</v>
      </c>
      <c r="Y11" s="219"/>
      <c r="Z11" s="203" t="s">
        <v>98</v>
      </c>
      <c r="AA11" s="203" t="s">
        <v>99</v>
      </c>
      <c r="AB11" s="203" t="s">
        <v>100</v>
      </c>
      <c r="AC11" s="220"/>
    </row>
    <row r="12" spans="1:29" x14ac:dyDescent="0.35">
      <c r="A12" s="215">
        <v>1</v>
      </c>
      <c r="B12" s="200">
        <v>-0.96</v>
      </c>
      <c r="C12" s="205">
        <f t="shared" ref="C12:C31" si="1">B12</f>
        <v>-0.96</v>
      </c>
      <c r="D12" s="205">
        <f t="shared" ref="D12:D31" si="2">$E$4+C12</f>
        <v>9.0399999999999991</v>
      </c>
      <c r="E12" s="205">
        <f t="shared" ref="E12:E31" si="3">(D12)+($H$4)+(($H$5)*((S13*$E$6)/($B$6)))</f>
        <v>10.298524695670725</v>
      </c>
      <c r="F12" s="200">
        <f t="shared" ref="F12:F31" si="4">$E$5+C12</f>
        <v>11.04</v>
      </c>
      <c r="G12" s="200">
        <f>'Curvas de Bojean'!C63*(D12/$B$5)^4+'Curvas de Bojean'!D63*(D12/$B$5)^3+'Curvas de Bojean'!E63*(D12/$B$5)^2+'Curvas de Bojean'!F63*(D12/$B$5)</f>
        <v>9.2130589763171178E-2</v>
      </c>
      <c r="H12" s="200">
        <f>'Curvas de Bojean'!$C63*(E12/$B$5)^4+'Curvas de Bojean'!$D63*(E12/$B$5)^3+'Curvas de Bojean'!$E63*(E12/$B$5)^2+'Curvas de Bojean'!$F63*(E12/$B$5)</f>
        <v>0.12342993197330589</v>
      </c>
      <c r="I12" s="200">
        <f>'Curvas de Bojean'!$C63*(F12/$B$5)^4+'Curvas de Bojean'!$D63*(F12/$B$5)^3+'Curvas de Bojean'!$E63*(F12/$B$5)^2+'Curvas de Bojean'!$F63*(F12/$B$5)</f>
        <v>0.14597722545655917</v>
      </c>
      <c r="J12" s="200">
        <f t="shared" ref="J12:L31" si="5">($K$7)*G12</f>
        <v>32.634090936745906</v>
      </c>
      <c r="K12" s="200">
        <f t="shared" si="0"/>
        <v>43.720805811485334</v>
      </c>
      <c r="L12" s="200">
        <f t="shared" si="0"/>
        <v>51.707408608682698</v>
      </c>
      <c r="M12" s="216">
        <v>8</v>
      </c>
      <c r="R12" s="215">
        <v>0</v>
      </c>
      <c r="S12" s="205">
        <v>0</v>
      </c>
      <c r="T12" s="200">
        <f>J11</f>
        <v>1.3478663581839743</v>
      </c>
      <c r="U12" s="205">
        <f>T12*S12</f>
        <v>0</v>
      </c>
      <c r="V12" s="200">
        <f>L11</f>
        <v>6.6100544342109755</v>
      </c>
      <c r="W12" s="200">
        <f>V12-T12</f>
        <v>5.2621880760270017</v>
      </c>
      <c r="X12" s="205">
        <f>W12*S12</f>
        <v>0</v>
      </c>
      <c r="Y12" s="205">
        <f>X12*S12</f>
        <v>0</v>
      </c>
      <c r="Z12" s="205">
        <f>($H$4/$H$6)+($H$5/$H$6)*(S12/20)</f>
        <v>0.64125891365516274</v>
      </c>
      <c r="AA12" s="205">
        <f>W12*Z12</f>
        <v>3.3744250090822261</v>
      </c>
      <c r="AB12" s="205">
        <f>T12+AA12</f>
        <v>4.7222913672661999</v>
      </c>
      <c r="AC12" s="216">
        <f>AB12*S12</f>
        <v>0</v>
      </c>
    </row>
    <row r="13" spans="1:29" x14ac:dyDescent="0.35">
      <c r="A13" s="215">
        <v>2</v>
      </c>
      <c r="B13" s="200">
        <v>-0.85</v>
      </c>
      <c r="C13" s="205">
        <f t="shared" si="1"/>
        <v>-0.85</v>
      </c>
      <c r="D13" s="205">
        <f t="shared" si="2"/>
        <v>9.15</v>
      </c>
      <c r="E13" s="205">
        <f t="shared" si="3"/>
        <v>10.384531564031128</v>
      </c>
      <c r="F13" s="200">
        <f t="shared" si="4"/>
        <v>11.15</v>
      </c>
      <c r="G13" s="200">
        <f>'Curvas de Bojean'!C64*(D13/$B$5)^4+'Curvas de Bojean'!D64*(D13/$B$5)^3+'Curvas de Bojean'!E64*(D13/$B$5)^2+'Curvas de Bojean'!F64*(D13/$B$5)</f>
        <v>0.23090110525993368</v>
      </c>
      <c r="H13" s="200">
        <f>'Curvas de Bojean'!$C64*(E13/$B$5)^4+'Curvas de Bojean'!$D64*(E13/$B$5)^3+'Curvas de Bojean'!$E64*(E13/$B$5)^2+'Curvas de Bojean'!$F64*(E13/$B$5)</f>
        <v>0.28551182828486549</v>
      </c>
      <c r="I13" s="200">
        <f>'Curvas de Bojean'!$C64*(F13/$B$5)^4+'Curvas de Bojean'!$D64*(F13/$B$5)^3+'Curvas de Bojean'!$E64*(F13/$B$5)^2+'Curvas de Bojean'!$F64*(F13/$B$5)</f>
        <v>0.32297056430388693</v>
      </c>
      <c r="J13" s="200">
        <f t="shared" si="5"/>
        <v>81.788770546435799</v>
      </c>
      <c r="K13" s="200">
        <f t="shared" si="0"/>
        <v>101.13273986106059</v>
      </c>
      <c r="L13" s="200">
        <f t="shared" si="0"/>
        <v>114.40120802958812</v>
      </c>
      <c r="M13" s="216">
        <v>8</v>
      </c>
      <c r="O13" s="204" t="s">
        <v>488</v>
      </c>
      <c r="P13" s="239">
        <f>1.025*E6*(SUM(AB13:AB31)+AB12/2+AB32/2)</f>
        <v>41889.561524944329</v>
      </c>
      <c r="R13" s="215">
        <v>1</v>
      </c>
      <c r="S13" s="205">
        <v>1</v>
      </c>
      <c r="T13" s="200">
        <f t="shared" ref="T13:T32" si="6">J12</f>
        <v>32.634090936745906</v>
      </c>
      <c r="U13" s="205">
        <f>T13*S13</f>
        <v>32.634090936745906</v>
      </c>
      <c r="V13" s="200">
        <f t="shared" ref="V13:V32" si="7">L12</f>
        <v>51.707408608682698</v>
      </c>
      <c r="W13" s="205">
        <f t="shared" ref="W13:W31" si="8">V13-T13</f>
        <v>19.073317671936792</v>
      </c>
      <c r="X13" s="205">
        <f>W13*S13</f>
        <v>19.073317671936792</v>
      </c>
      <c r="Y13" s="205">
        <f t="shared" ref="Y13:Y31" si="9">X13*S13</f>
        <v>19.073317671936792</v>
      </c>
      <c r="Z13" s="205">
        <f t="shared" ref="Z13:Z32" si="10">($H$4/$H$6)+($H$5/$H$6)*(S13/20)</f>
        <v>0.62926234783536328</v>
      </c>
      <c r="AA13" s="205">
        <f t="shared" ref="AA13:AA31" si="11">W13*Z13</f>
        <v>12.002120659252672</v>
      </c>
      <c r="AB13" s="205">
        <f t="shared" ref="AB13:AB31" si="12">T13+AA13</f>
        <v>44.636211595998574</v>
      </c>
      <c r="AC13" s="216">
        <f t="shared" ref="AC13:AC31" si="13">AB13*S13</f>
        <v>44.636211595998574</v>
      </c>
    </row>
    <row r="14" spans="1:29" x14ac:dyDescent="0.35">
      <c r="A14" s="215">
        <v>3</v>
      </c>
      <c r="B14" s="200">
        <v>-0.68</v>
      </c>
      <c r="C14" s="205">
        <f t="shared" si="1"/>
        <v>-0.68</v>
      </c>
      <c r="D14" s="205">
        <f t="shared" si="2"/>
        <v>9.32</v>
      </c>
      <c r="E14" s="205">
        <f t="shared" si="3"/>
        <v>10.530538432391529</v>
      </c>
      <c r="F14" s="200">
        <f t="shared" si="4"/>
        <v>11.32</v>
      </c>
      <c r="G14" s="200">
        <f>'Curvas de Bojean'!C65*(D14/$B$5)^4+'Curvas de Bojean'!D65*(D14/$B$5)^3+'Curvas de Bojean'!E65*(D14/$B$5)^2+'Curvas de Bojean'!F65*(D14/$B$5)</f>
        <v>0.37868391135907253</v>
      </c>
      <c r="H14" s="200">
        <f>'Curvas de Bojean'!$C65*(E14/$B$5)^4+'Curvas de Bojean'!$D65*(E14/$B$5)^3+'Curvas de Bojean'!$E65*(E14/$B$5)^2+'Curvas de Bojean'!$F65*(E14/$B$5)</f>
        <v>0.45008971249255508</v>
      </c>
      <c r="I14" s="200">
        <f>'Curvas de Bojean'!$C65*(F14/$B$5)^4+'Curvas de Bojean'!$D65*(F14/$B$5)^3+'Curvas de Bojean'!$E65*(F14/$B$5)^2+'Curvas de Bojean'!$F65*(F14/$B$5)</f>
        <v>0.4991215201217829</v>
      </c>
      <c r="J14" s="200">
        <f t="shared" si="5"/>
        <v>134.135743962367</v>
      </c>
      <c r="K14" s="200">
        <f t="shared" si="0"/>
        <v>159.42879172849317</v>
      </c>
      <c r="L14" s="200">
        <f t="shared" si="0"/>
        <v>176.79662225121592</v>
      </c>
      <c r="M14" s="216">
        <v>8</v>
      </c>
      <c r="O14" s="204" t="s">
        <v>484</v>
      </c>
      <c r="P14" s="239">
        <f ca="1">'DW + LW'!E49</f>
        <v>41889.563078013125</v>
      </c>
      <c r="R14" s="215">
        <v>2</v>
      </c>
      <c r="S14" s="205">
        <v>2</v>
      </c>
      <c r="T14" s="200">
        <f t="shared" si="6"/>
        <v>81.788770546435799</v>
      </c>
      <c r="U14" s="205">
        <f t="shared" ref="U14:U31" si="14">T14*S14</f>
        <v>163.5775410928716</v>
      </c>
      <c r="V14" s="200">
        <f t="shared" si="7"/>
        <v>114.40120802958812</v>
      </c>
      <c r="W14" s="205">
        <f t="shared" si="8"/>
        <v>32.61243748315232</v>
      </c>
      <c r="X14" s="205">
        <f t="shared" ref="X14:X31" si="15">W14*S14</f>
        <v>65.22487496630464</v>
      </c>
      <c r="Y14" s="205">
        <f t="shared" si="9"/>
        <v>130.44974993260928</v>
      </c>
      <c r="Z14" s="205">
        <f t="shared" si="10"/>
        <v>0.61726578201556381</v>
      </c>
      <c r="AA14" s="205">
        <f t="shared" si="11"/>
        <v>20.130541726471701</v>
      </c>
      <c r="AB14" s="205">
        <f t="shared" si="12"/>
        <v>101.9193122729075</v>
      </c>
      <c r="AC14" s="216">
        <f t="shared" si="13"/>
        <v>203.83862454581501</v>
      </c>
    </row>
    <row r="15" spans="1:29" x14ac:dyDescent="0.35">
      <c r="A15" s="215">
        <v>4</v>
      </c>
      <c r="B15" s="200">
        <v>-0.44</v>
      </c>
      <c r="C15" s="205">
        <f>B15</f>
        <v>-0.44</v>
      </c>
      <c r="D15" s="205">
        <f t="shared" si="2"/>
        <v>9.56</v>
      </c>
      <c r="E15" s="205">
        <f t="shared" si="3"/>
        <v>10.746545300751931</v>
      </c>
      <c r="F15" s="200">
        <f t="shared" si="4"/>
        <v>11.56</v>
      </c>
      <c r="G15" s="200">
        <f>'Curvas de Bojean'!C66*(D15/$B$5)^4+'Curvas de Bojean'!D66*(D15/$B$5)^3+'Curvas de Bojean'!E66*(D15/$B$5)^2+'Curvas de Bojean'!F66*(D15/$B$5)</f>
        <v>0.51712911658924732</v>
      </c>
      <c r="H15" s="200">
        <f>'Curvas de Bojean'!$C66*(E15/$B$5)^4+'Curvas de Bojean'!$D66*(E15/$B$5)^3+'Curvas de Bojean'!$E66*(E15/$B$5)^2+'Curvas de Bojean'!$F66*(E15/$B$5)</f>
        <v>0.59790185635978788</v>
      </c>
      <c r="I15" s="200">
        <f>'Curvas de Bojean'!$C66*(F15/$B$5)^4+'Curvas de Bojean'!$D66*(F15/$B$5)^3+'Curvas de Bojean'!$E66*(F15/$B$5)^2+'Curvas de Bojean'!$F66*(F15/$B$5)</f>
        <v>0.65453376078341852</v>
      </c>
      <c r="J15" s="200">
        <f t="shared" si="5"/>
        <v>183.17519360500935</v>
      </c>
      <c r="K15" s="200">
        <f t="shared" si="0"/>
        <v>211.78615703917202</v>
      </c>
      <c r="L15" s="200">
        <f t="shared" si="0"/>
        <v>231.84606030943903</v>
      </c>
      <c r="M15" s="216">
        <v>8</v>
      </c>
      <c r="O15" s="204" t="s">
        <v>95</v>
      </c>
      <c r="P15" s="239">
        <f ca="1">ABS(P13-P14)</f>
        <v>1.5530687960563228E-3</v>
      </c>
      <c r="R15" s="215">
        <v>3</v>
      </c>
      <c r="S15" s="205">
        <v>3</v>
      </c>
      <c r="T15" s="200">
        <f t="shared" si="6"/>
        <v>134.135743962367</v>
      </c>
      <c r="U15" s="205">
        <f t="shared" si="14"/>
        <v>402.40723188710103</v>
      </c>
      <c r="V15" s="200">
        <f t="shared" si="7"/>
        <v>176.79662225121592</v>
      </c>
      <c r="W15" s="205">
        <f t="shared" si="8"/>
        <v>42.66087828884892</v>
      </c>
      <c r="X15" s="205">
        <f t="shared" si="15"/>
        <v>127.98263486654676</v>
      </c>
      <c r="Y15" s="205">
        <f t="shared" si="9"/>
        <v>383.94790459964031</v>
      </c>
      <c r="Z15" s="205">
        <f t="shared" si="10"/>
        <v>0.60526921619576446</v>
      </c>
      <c r="AA15" s="205">
        <f t="shared" si="11"/>
        <v>25.821316364114491</v>
      </c>
      <c r="AB15" s="205">
        <f>T15+AA15</f>
        <v>159.9570603264815</v>
      </c>
      <c r="AC15" s="216">
        <f t="shared" si="13"/>
        <v>479.87118097944449</v>
      </c>
    </row>
    <row r="16" spans="1:29" x14ac:dyDescent="0.35">
      <c r="A16" s="215">
        <v>5</v>
      </c>
      <c r="B16" s="200">
        <v>-0.15</v>
      </c>
      <c r="C16" s="205">
        <f t="shared" si="1"/>
        <v>-0.15</v>
      </c>
      <c r="D16" s="205">
        <f t="shared" si="2"/>
        <v>9.85</v>
      </c>
      <c r="E16" s="205">
        <f t="shared" si="3"/>
        <v>11.012552169112331</v>
      </c>
      <c r="F16" s="200">
        <f t="shared" si="4"/>
        <v>11.85</v>
      </c>
      <c r="G16" s="200">
        <f>'Curvas de Bojean'!C67*(D16/$B$5)^4+'Curvas de Bojean'!D67*(D16/$B$5)^3+'Curvas de Bojean'!E67*(D16/$B$5)^2+'Curvas de Bojean'!F67*(D16/$B$5)</f>
        <v>0.63034490724129888</v>
      </c>
      <c r="H16" s="200">
        <f>'Curvas de Bojean'!$C67*(E16/$B$5)^4+'Curvas de Bojean'!$D67*(E16/$B$5)^3+'Curvas de Bojean'!$E67*(E16/$B$5)^2+'Curvas de Bojean'!$F67*(E16/$B$5)</f>
        <v>0.71430289079875831</v>
      </c>
      <c r="I16" s="200">
        <f>'Curvas de Bojean'!$C67*(F16/$B$5)^4+'Curvas de Bojean'!$D67*(F16/$B$5)^3+'Curvas de Bojean'!$E67*(F16/$B$5)^2+'Curvas de Bojean'!$F67*(F16/$B$5)</f>
        <v>0.77519812834708923</v>
      </c>
      <c r="J16" s="200">
        <f t="shared" si="5"/>
        <v>223.27799135233883</v>
      </c>
      <c r="K16" s="200">
        <f t="shared" si="0"/>
        <v>253.01721778433122</v>
      </c>
      <c r="L16" s="200">
        <f t="shared" si="0"/>
        <v>274.58726010008525</v>
      </c>
      <c r="M16" s="216">
        <v>8</v>
      </c>
      <c r="O16" s="204" t="s">
        <v>514</v>
      </c>
      <c r="P16" s="238">
        <f ca="1">P15/P14</f>
        <v>3.7075316187088449E-8</v>
      </c>
      <c r="R16" s="215">
        <v>4</v>
      </c>
      <c r="S16" s="205">
        <v>4</v>
      </c>
      <c r="T16" s="200">
        <f t="shared" si="6"/>
        <v>183.17519360500935</v>
      </c>
      <c r="U16" s="205">
        <f t="shared" si="14"/>
        <v>732.70077442003742</v>
      </c>
      <c r="V16" s="200">
        <f t="shared" si="7"/>
        <v>231.84606030943903</v>
      </c>
      <c r="W16" s="205">
        <f t="shared" si="8"/>
        <v>48.67086670442967</v>
      </c>
      <c r="X16" s="205">
        <f t="shared" si="15"/>
        <v>194.68346681771868</v>
      </c>
      <c r="Y16" s="205">
        <f t="shared" si="9"/>
        <v>778.73386727087473</v>
      </c>
      <c r="Z16" s="205">
        <f t="shared" si="10"/>
        <v>0.59327265037596499</v>
      </c>
      <c r="AA16" s="205">
        <f t="shared" si="11"/>
        <v>28.875094085832298</v>
      </c>
      <c r="AB16" s="205">
        <f t="shared" si="12"/>
        <v>212.05028769084166</v>
      </c>
      <c r="AC16" s="216">
        <f t="shared" si="13"/>
        <v>848.20115076336663</v>
      </c>
    </row>
    <row r="17" spans="1:29" x14ac:dyDescent="0.35">
      <c r="A17" s="215">
        <v>6</v>
      </c>
      <c r="B17" s="200">
        <v>0.16</v>
      </c>
      <c r="C17" s="205">
        <f t="shared" si="1"/>
        <v>0.16</v>
      </c>
      <c r="D17" s="205">
        <f t="shared" si="2"/>
        <v>10.16</v>
      </c>
      <c r="E17" s="205">
        <f t="shared" si="3"/>
        <v>11.298559037472732</v>
      </c>
      <c r="F17" s="200">
        <f t="shared" si="4"/>
        <v>12.16</v>
      </c>
      <c r="G17" s="200">
        <f>'Curvas de Bojean'!C68*(D17/$B$5)^4+'Curvas de Bojean'!D68*(D17/$B$5)^3+'Curvas de Bojean'!E68*(D17/$B$5)^2+'Curvas de Bojean'!F68*(D17/$B$5)</f>
        <v>0.70887300291838717</v>
      </c>
      <c r="H17" s="200">
        <f>'Curvas de Bojean'!$C68*(E17/$B$5)^4+'Curvas de Bojean'!$D68*(E17/$B$5)^3+'Curvas de Bojean'!$E68*(E17/$B$5)^2+'Curvas de Bojean'!$F68*(E17/$B$5)</f>
        <v>0.79209560375654853</v>
      </c>
      <c r="I17" s="200">
        <f>'Curvas de Bojean'!$C68*(F17/$B$5)^4+'Curvas de Bojean'!$D68*(F17/$B$5)^3+'Curvas de Bojean'!$E68*(F17/$B$5)^2+'Curvas de Bojean'!$F68*(F17/$B$5)</f>
        <v>0.8552406711149656</v>
      </c>
      <c r="J17" s="200">
        <f t="shared" si="5"/>
        <v>251.09386686125703</v>
      </c>
      <c r="K17" s="200">
        <f t="shared" si="0"/>
        <v>280.57260927163861</v>
      </c>
      <c r="L17" s="200">
        <f t="shared" si="0"/>
        <v>302.93957637429878</v>
      </c>
      <c r="M17" s="216">
        <v>8</v>
      </c>
      <c r="P17" s="21"/>
      <c r="R17" s="215">
        <v>5</v>
      </c>
      <c r="S17" s="205">
        <v>5</v>
      </c>
      <c r="T17" s="200">
        <f t="shared" si="6"/>
        <v>223.27799135233883</v>
      </c>
      <c r="U17" s="205">
        <f t="shared" si="14"/>
        <v>1116.3899567616941</v>
      </c>
      <c r="V17" s="200">
        <f t="shared" si="7"/>
        <v>274.58726010008525</v>
      </c>
      <c r="W17" s="205">
        <f t="shared" si="8"/>
        <v>51.309268747746415</v>
      </c>
      <c r="X17" s="205">
        <f t="shared" si="15"/>
        <v>256.54634373873205</v>
      </c>
      <c r="Y17" s="205">
        <f t="shared" si="9"/>
        <v>1282.7317186936602</v>
      </c>
      <c r="Z17" s="205">
        <f t="shared" si="10"/>
        <v>0.58127608455616553</v>
      </c>
      <c r="AA17" s="205">
        <f t="shared" si="11"/>
        <v>29.824850839130068</v>
      </c>
      <c r="AB17" s="205">
        <f t="shared" si="12"/>
        <v>253.10284219146891</v>
      </c>
      <c r="AC17" s="216">
        <f t="shared" si="13"/>
        <v>1265.5142109573446</v>
      </c>
    </row>
    <row r="18" spans="1:29" x14ac:dyDescent="0.35">
      <c r="A18" s="215">
        <v>7</v>
      </c>
      <c r="B18" s="200">
        <v>0.47</v>
      </c>
      <c r="C18" s="205">
        <f t="shared" si="1"/>
        <v>0.47</v>
      </c>
      <c r="D18" s="205">
        <f t="shared" si="2"/>
        <v>10.47</v>
      </c>
      <c r="E18" s="205">
        <f t="shared" si="3"/>
        <v>11.584565905833134</v>
      </c>
      <c r="F18" s="200">
        <f t="shared" si="4"/>
        <v>12.47</v>
      </c>
      <c r="G18" s="200">
        <f>'Curvas de Bojean'!C69*(D18/$B$5)^4+'Curvas de Bojean'!D69*(D18/$B$5)^3+'Curvas de Bojean'!E69*(D18/$B$5)^2+'Curvas de Bojean'!F69*(D18/$B$5)</f>
        <v>0.75607169314915579</v>
      </c>
      <c r="H18" s="200">
        <f>'Curvas de Bojean'!$C69*(E18/$B$5)^4+'Curvas de Bojean'!$D69*(E18/$B$5)^3+'Curvas de Bojean'!$E69*(E18/$B$5)^2+'Curvas de Bojean'!$F69*(E18/$B$5)</f>
        <v>0.8377967203469836</v>
      </c>
      <c r="I18" s="200">
        <f>'Curvas de Bojean'!$C69*(F18/$B$5)^4+'Curvas de Bojean'!$D69*(F18/$B$5)^3+'Curvas de Bojean'!$E69*(F18/$B$5)^2+'Curvas de Bojean'!$F69*(F18/$B$5)</f>
        <v>0.90292702320701768</v>
      </c>
      <c r="J18" s="200">
        <f t="shared" si="5"/>
        <v>267.81237862858239</v>
      </c>
      <c r="K18" s="200">
        <f t="shared" si="0"/>
        <v>296.76065711282666</v>
      </c>
      <c r="L18" s="200">
        <f t="shared" si="0"/>
        <v>319.83082557409273</v>
      </c>
      <c r="M18" s="216">
        <v>8</v>
      </c>
      <c r="P18" s="21"/>
      <c r="R18" s="215">
        <v>6</v>
      </c>
      <c r="S18" s="205">
        <v>6</v>
      </c>
      <c r="T18" s="200">
        <f t="shared" si="6"/>
        <v>251.09386686125703</v>
      </c>
      <c r="U18" s="205">
        <f t="shared" si="14"/>
        <v>1506.563201167542</v>
      </c>
      <c r="V18" s="200">
        <f t="shared" si="7"/>
        <v>302.93957637429878</v>
      </c>
      <c r="W18" s="205">
        <f t="shared" si="8"/>
        <v>51.845709513041754</v>
      </c>
      <c r="X18" s="205">
        <f t="shared" si="15"/>
        <v>311.07425707825053</v>
      </c>
      <c r="Y18" s="205">
        <f t="shared" si="9"/>
        <v>1866.4455424695032</v>
      </c>
      <c r="Z18" s="205">
        <f t="shared" si="10"/>
        <v>0.56927951873636606</v>
      </c>
      <c r="AA18" s="205">
        <f t="shared" si="11"/>
        <v>29.514700560129846</v>
      </c>
      <c r="AB18" s="205">
        <f t="shared" si="12"/>
        <v>280.60856742138685</v>
      </c>
      <c r="AC18" s="216">
        <f t="shared" si="13"/>
        <v>1683.6514045283211</v>
      </c>
    </row>
    <row r="19" spans="1:29" x14ac:dyDescent="0.35">
      <c r="A19" s="215">
        <v>8</v>
      </c>
      <c r="B19" s="200">
        <v>0.74</v>
      </c>
      <c r="C19" s="205">
        <f t="shared" si="1"/>
        <v>0.74</v>
      </c>
      <c r="D19" s="205">
        <f t="shared" si="2"/>
        <v>10.74</v>
      </c>
      <c r="E19" s="205">
        <f t="shared" si="3"/>
        <v>11.830572774193534</v>
      </c>
      <c r="F19" s="200">
        <f t="shared" si="4"/>
        <v>12.74</v>
      </c>
      <c r="G19" s="200">
        <f>'Curvas de Bojean'!C70*(D19/$B$5)^4+'Curvas de Bojean'!D70*(D19/$B$5)^3+'Curvas de Bojean'!E70*(D19/$B$5)^2+'Curvas de Bojean'!F70*(D19/$B$5)</f>
        <v>0.78163736971614983</v>
      </c>
      <c r="H19" s="200">
        <f>'Curvas de Bojean'!$C70*(E19/$B$5)^4+'Curvas de Bojean'!$D70*(E19/$B$5)^3+'Curvas de Bojean'!$E70*(E19/$B$5)^2+'Curvas de Bojean'!$F70*(E19/$B$5)</f>
        <v>0.86158709135143785</v>
      </c>
      <c r="I19" s="200">
        <f>'Curvas de Bojean'!$C70*(F19/$B$5)^4+'Curvas de Bojean'!$D70*(F19/$B$5)^3+'Curvas de Bojean'!$E70*(F19/$B$5)^2+'Curvas de Bojean'!$F70*(F19/$B$5)</f>
        <v>0.92859815884174457</v>
      </c>
      <c r="J19" s="200">
        <f t="shared" si="5"/>
        <v>276.86813976168037</v>
      </c>
      <c r="K19" s="200">
        <f t="shared" si="0"/>
        <v>305.18757734392494</v>
      </c>
      <c r="L19" s="200">
        <f t="shared" si="0"/>
        <v>328.92394195277575</v>
      </c>
      <c r="M19" s="216">
        <v>8</v>
      </c>
      <c r="O19" s="204" t="s">
        <v>1</v>
      </c>
      <c r="P19" s="239">
        <f>E6*((SUM(AC12:AC32))/(SUM(AB12:AB32)))-B6/2</f>
        <v>1.9892695906246303</v>
      </c>
      <c r="R19" s="215">
        <v>7</v>
      </c>
      <c r="S19" s="205">
        <v>7</v>
      </c>
      <c r="T19" s="200">
        <f t="shared" si="6"/>
        <v>267.81237862858239</v>
      </c>
      <c r="U19" s="205">
        <f t="shared" si="14"/>
        <v>1874.6866504000768</v>
      </c>
      <c r="V19" s="200">
        <f t="shared" si="7"/>
        <v>319.83082557409273</v>
      </c>
      <c r="W19" s="205">
        <f t="shared" si="8"/>
        <v>52.018446945510334</v>
      </c>
      <c r="X19" s="205">
        <f t="shared" si="15"/>
        <v>364.12912861857234</v>
      </c>
      <c r="Y19" s="205">
        <f t="shared" si="9"/>
        <v>2548.9039003300063</v>
      </c>
      <c r="Z19" s="205">
        <f t="shared" si="10"/>
        <v>0.5572829529165666</v>
      </c>
      <c r="AA19" s="205">
        <f t="shared" si="11"/>
        <v>28.988993719927752</v>
      </c>
      <c r="AB19" s="205">
        <f t="shared" si="12"/>
        <v>296.80137234851014</v>
      </c>
      <c r="AC19" s="216">
        <f t="shared" si="13"/>
        <v>2077.6096064395711</v>
      </c>
    </row>
    <row r="20" spans="1:29" x14ac:dyDescent="0.35">
      <c r="A20" s="215">
        <v>9</v>
      </c>
      <c r="B20" s="200">
        <v>0.93</v>
      </c>
      <c r="C20" s="205">
        <f t="shared" si="1"/>
        <v>0.93</v>
      </c>
      <c r="D20" s="205">
        <f t="shared" si="2"/>
        <v>10.93</v>
      </c>
      <c r="E20" s="205">
        <f t="shared" si="3"/>
        <v>11.996579642553936</v>
      </c>
      <c r="F20" s="200">
        <f t="shared" si="4"/>
        <v>12.93</v>
      </c>
      <c r="G20" s="200">
        <f>'Curvas de Bojean'!C71*(D20/$B$5)^4+'Curvas de Bojean'!D71*(D20/$B$5)^3+'Curvas de Bojean'!E71*(D20/$B$5)^2+'Curvas de Bojean'!F71*(D20/$B$5)</f>
        <v>0.79580929346662777</v>
      </c>
      <c r="H20" s="200">
        <f>'Curvas de Bojean'!$C71*(E20/$B$5)^4+'Curvas de Bojean'!$D71*(E20/$B$5)^3+'Curvas de Bojean'!$E71*(E20/$B$5)^2+'Curvas de Bojean'!$F71*(E20/$B$5)</f>
        <v>0.87404163705511351</v>
      </c>
      <c r="I20" s="200">
        <f>'Curvas de Bojean'!$C71*(F20/$B$5)^4+'Curvas de Bojean'!$D71*(F20/$B$5)^3+'Curvas de Bojean'!$E71*(F20/$B$5)^2+'Curvas de Bojean'!$F71*(F20/$B$5)</f>
        <v>0.94292530703238719</v>
      </c>
      <c r="J20" s="200">
        <f t="shared" si="5"/>
        <v>281.88805605235632</v>
      </c>
      <c r="K20" s="200">
        <f t="shared" si="0"/>
        <v>309.59917156159361</v>
      </c>
      <c r="L20" s="200">
        <f t="shared" si="0"/>
        <v>333.99884115964664</v>
      </c>
      <c r="M20" s="216">
        <v>8</v>
      </c>
      <c r="O20" s="204" t="s">
        <v>515</v>
      </c>
      <c r="P20" s="239">
        <f ca="1">'DW + LW'!O47</f>
        <v>1.9892695911520033</v>
      </c>
      <c r="R20" s="215">
        <v>8</v>
      </c>
      <c r="S20" s="205">
        <v>8</v>
      </c>
      <c r="T20" s="200">
        <f t="shared" si="6"/>
        <v>276.86813976168037</v>
      </c>
      <c r="U20" s="205">
        <f t="shared" si="14"/>
        <v>2214.9451180934429</v>
      </c>
      <c r="V20" s="200">
        <f t="shared" si="7"/>
        <v>328.92394195277575</v>
      </c>
      <c r="W20" s="205">
        <f t="shared" si="8"/>
        <v>52.055802191095381</v>
      </c>
      <c r="X20" s="205">
        <f t="shared" si="15"/>
        <v>416.44641752876305</v>
      </c>
      <c r="Y20" s="205">
        <f t="shared" si="9"/>
        <v>3331.5713402301044</v>
      </c>
      <c r="Z20" s="205">
        <f t="shared" si="10"/>
        <v>0.54528638709676724</v>
      </c>
      <c r="AA20" s="205">
        <f t="shared" si="11"/>
        <v>28.385320304206381</v>
      </c>
      <c r="AB20" s="205">
        <f t="shared" si="12"/>
        <v>305.25346006588677</v>
      </c>
      <c r="AC20" s="216">
        <f t="shared" si="13"/>
        <v>2442.0276805270942</v>
      </c>
    </row>
    <row r="21" spans="1:29" x14ac:dyDescent="0.35">
      <c r="A21" s="215">
        <v>10</v>
      </c>
      <c r="B21" s="200">
        <v>1</v>
      </c>
      <c r="C21" s="205">
        <f t="shared" si="1"/>
        <v>1</v>
      </c>
      <c r="D21" s="205">
        <f t="shared" si="2"/>
        <v>11</v>
      </c>
      <c r="E21" s="205">
        <f t="shared" si="3"/>
        <v>12.042586510914337</v>
      </c>
      <c r="F21" s="200">
        <f t="shared" si="4"/>
        <v>13</v>
      </c>
      <c r="G21" s="200">
        <f>'Curvas de Bojean'!C72*(D21/$B$5)^4+'Curvas de Bojean'!D72*(D21/$B$5)^3+'Curvas de Bojean'!E72*(D21/$B$5)^2+'Curvas de Bojean'!F72*(D21/$B$5)</f>
        <v>0.80119340959559593</v>
      </c>
      <c r="H21" s="200">
        <f>'Curvas de Bojean'!$C72*(E21/$B$5)^4+'Curvas de Bojean'!$D72*(E21/$B$5)^3+'Curvas de Bojean'!$E72*(E21/$B$5)^2+'Curvas de Bojean'!$F72*(E21/$B$5)</f>
        <v>0.87767971103436448</v>
      </c>
      <c r="I21" s="200">
        <f>'Curvas de Bojean'!$C72*(F21/$B$5)^4+'Curvas de Bojean'!$D72*(F21/$B$5)^3+'Curvas de Bojean'!$E72*(F21/$B$5)^2+'Curvas de Bojean'!$F72*(F21/$B$5)</f>
        <v>0.94837542234915961</v>
      </c>
      <c r="J21" s="200">
        <f t="shared" si="5"/>
        <v>283.79519390763772</v>
      </c>
      <c r="K21" s="200">
        <f t="shared" si="0"/>
        <v>310.88783407182694</v>
      </c>
      <c r="L21" s="200">
        <f t="shared" si="0"/>
        <v>335.92935695597993</v>
      </c>
      <c r="M21" s="216">
        <v>8</v>
      </c>
      <c r="O21" s="204" t="s">
        <v>516</v>
      </c>
      <c r="P21" s="239">
        <f ca="1">(P19-P20)</f>
        <v>-5.2737303413152858E-10</v>
      </c>
      <c r="R21" s="215">
        <v>9</v>
      </c>
      <c r="S21" s="205">
        <v>9</v>
      </c>
      <c r="T21" s="200">
        <f t="shared" si="6"/>
        <v>281.88805605235632</v>
      </c>
      <c r="U21" s="205">
        <f t="shared" si="14"/>
        <v>2536.9925044712068</v>
      </c>
      <c r="V21" s="200">
        <f t="shared" si="7"/>
        <v>333.99884115964664</v>
      </c>
      <c r="W21" s="205">
        <f t="shared" si="8"/>
        <v>52.110785107290326</v>
      </c>
      <c r="X21" s="205">
        <f t="shared" si="15"/>
        <v>468.99706596561293</v>
      </c>
      <c r="Y21" s="205">
        <f t="shared" si="9"/>
        <v>4220.9735936905163</v>
      </c>
      <c r="Z21" s="205">
        <f t="shared" si="10"/>
        <v>0.53328982127696778</v>
      </c>
      <c r="AA21" s="205">
        <f t="shared" si="11"/>
        <v>27.790151276469331</v>
      </c>
      <c r="AB21" s="205">
        <f t="shared" si="12"/>
        <v>309.67820732882564</v>
      </c>
      <c r="AC21" s="216">
        <f t="shared" si="13"/>
        <v>2787.1038659594305</v>
      </c>
    </row>
    <row r="22" spans="1:29" x14ac:dyDescent="0.35">
      <c r="A22" s="215">
        <v>11</v>
      </c>
      <c r="B22" s="200">
        <v>0.93</v>
      </c>
      <c r="C22" s="205">
        <f t="shared" si="1"/>
        <v>0.93</v>
      </c>
      <c r="D22" s="205">
        <f t="shared" si="2"/>
        <v>10.93</v>
      </c>
      <c r="E22" s="205">
        <f t="shared" si="3"/>
        <v>11.948593379274737</v>
      </c>
      <c r="F22" s="200">
        <f t="shared" si="4"/>
        <v>12.93</v>
      </c>
      <c r="G22" s="200">
        <f>'Curvas de Bojean'!C73*(D22/$B$5)^4+'Curvas de Bojean'!D73*(D22/$B$5)^3+'Curvas de Bojean'!E73*(D22/$B$5)^2+'Curvas de Bojean'!F73*(D22/$B$5)</f>
        <v>0.79632455816934489</v>
      </c>
      <c r="H22" s="200">
        <f>'Curvas de Bojean'!$C73*(E22/$B$5)^4+'Curvas de Bojean'!$D73*(E22/$B$5)^3+'Curvas de Bojean'!$E73*(E22/$B$5)^2+'Curvas de Bojean'!$F73*(E22/$B$5)</f>
        <v>0.87102387457834329</v>
      </c>
      <c r="I22" s="200">
        <f>'Curvas de Bojean'!$C73*(F22/$B$5)^4+'Curvas de Bojean'!$D73*(F22/$B$5)^3+'Curvas de Bojean'!$E73*(F22/$B$5)^2+'Curvas de Bojean'!$F73*(F22/$B$5)</f>
        <v>0.94344166876687996</v>
      </c>
      <c r="J22" s="200">
        <f t="shared" si="5"/>
        <v>282.07057084150711</v>
      </c>
      <c r="K22" s="200">
        <f t="shared" si="0"/>
        <v>308.53023305435545</v>
      </c>
      <c r="L22" s="200">
        <f t="shared" si="0"/>
        <v>334.18174453455185</v>
      </c>
      <c r="M22" s="216">
        <v>8</v>
      </c>
      <c r="O22" s="204" t="s">
        <v>514</v>
      </c>
      <c r="P22" s="238">
        <f ca="1">ABS(P21/P20)</f>
        <v>2.6510888040374774E-10</v>
      </c>
      <c r="R22" s="215">
        <v>10</v>
      </c>
      <c r="S22" s="205">
        <v>10</v>
      </c>
      <c r="T22" s="200">
        <f t="shared" si="6"/>
        <v>283.79519390763772</v>
      </c>
      <c r="U22" s="205">
        <f t="shared" si="14"/>
        <v>2837.9519390763771</v>
      </c>
      <c r="V22" s="200">
        <f t="shared" si="7"/>
        <v>335.92935695597993</v>
      </c>
      <c r="W22" s="205">
        <f t="shared" si="8"/>
        <v>52.134163048342202</v>
      </c>
      <c r="X22" s="205">
        <f t="shared" si="15"/>
        <v>521.34163048342202</v>
      </c>
      <c r="Y22" s="205">
        <f t="shared" si="9"/>
        <v>5213.4163048342198</v>
      </c>
      <c r="Z22" s="205">
        <f t="shared" si="10"/>
        <v>0.52129325545716831</v>
      </c>
      <c r="AA22" s="205">
        <f t="shared" si="11"/>
        <v>27.177187576005117</v>
      </c>
      <c r="AB22" s="205">
        <f t="shared" si="12"/>
        <v>310.97238148364283</v>
      </c>
      <c r="AC22" s="216">
        <f t="shared" si="13"/>
        <v>3109.7238148364286</v>
      </c>
    </row>
    <row r="23" spans="1:29" x14ac:dyDescent="0.35">
      <c r="A23" s="215">
        <v>12</v>
      </c>
      <c r="B23" s="200">
        <v>0.74</v>
      </c>
      <c r="C23" s="205">
        <f t="shared" si="1"/>
        <v>0.74</v>
      </c>
      <c r="D23" s="205">
        <f t="shared" si="2"/>
        <v>10.74</v>
      </c>
      <c r="E23" s="205">
        <f t="shared" si="3"/>
        <v>11.734600247635139</v>
      </c>
      <c r="F23" s="200">
        <f t="shared" si="4"/>
        <v>12.74</v>
      </c>
      <c r="G23" s="200">
        <f>'Curvas de Bojean'!C74*(D23/$B$5)^4+'Curvas de Bojean'!D74*(D23/$B$5)^3+'Curvas de Bojean'!E74*(D23/$B$5)^2+'Curvas de Bojean'!F74*(D23/$B$5)</f>
        <v>0.78267165778492676</v>
      </c>
      <c r="H23" s="200">
        <f>'Curvas de Bojean'!$C74*(E23/$B$5)^4+'Curvas de Bojean'!$D74*(E23/$B$5)^3+'Curvas de Bojean'!$E74*(E23/$B$5)^2+'Curvas de Bojean'!$F74*(E23/$B$5)</f>
        <v>0.85555958885229988</v>
      </c>
      <c r="I23" s="200">
        <f>'Curvas de Bojean'!$C74*(F23/$B$5)^4+'Curvas de Bojean'!$D74*(F23/$B$5)^3+'Curvas de Bojean'!$E74*(F23/$B$5)^2+'Curvas de Bojean'!$F74*(F23/$B$5)</f>
        <v>0.92962603619927187</v>
      </c>
      <c r="J23" s="200">
        <f t="shared" si="5"/>
        <v>277.23450071712438</v>
      </c>
      <c r="K23" s="200">
        <f t="shared" si="0"/>
        <v>303.05254200784418</v>
      </c>
      <c r="L23" s="200">
        <f t="shared" si="0"/>
        <v>329.28803213437118</v>
      </c>
      <c r="M23" s="216">
        <v>8</v>
      </c>
      <c r="P23" s="21"/>
      <c r="R23" s="215">
        <v>11</v>
      </c>
      <c r="S23" s="205">
        <v>11</v>
      </c>
      <c r="T23" s="200">
        <f t="shared" si="6"/>
        <v>282.07057084150711</v>
      </c>
      <c r="U23" s="205">
        <f t="shared" si="14"/>
        <v>3102.7762792565782</v>
      </c>
      <c r="V23" s="200">
        <f t="shared" si="7"/>
        <v>334.18174453455185</v>
      </c>
      <c r="W23" s="205">
        <f t="shared" si="8"/>
        <v>52.111173693044748</v>
      </c>
      <c r="X23" s="205">
        <f t="shared" si="15"/>
        <v>573.22291062349223</v>
      </c>
      <c r="Y23" s="205">
        <f t="shared" si="9"/>
        <v>6305.4520168584149</v>
      </c>
      <c r="Z23" s="205">
        <f t="shared" si="10"/>
        <v>0.50929668963736885</v>
      </c>
      <c r="AA23" s="205">
        <f t="shared" si="11"/>
        <v>26.540048254985631</v>
      </c>
      <c r="AB23" s="205">
        <f t="shared" si="12"/>
        <v>308.61061909649271</v>
      </c>
      <c r="AC23" s="216">
        <f t="shared" si="13"/>
        <v>3394.7168100614199</v>
      </c>
    </row>
    <row r="24" spans="1:29" x14ac:dyDescent="0.35">
      <c r="A24" s="215">
        <v>13</v>
      </c>
      <c r="B24" s="200">
        <v>0.47</v>
      </c>
      <c r="C24" s="205">
        <f t="shared" si="1"/>
        <v>0.47</v>
      </c>
      <c r="D24" s="205">
        <f t="shared" si="2"/>
        <v>10.47</v>
      </c>
      <c r="E24" s="205">
        <f t="shared" si="3"/>
        <v>11.44060711599554</v>
      </c>
      <c r="F24" s="200">
        <f t="shared" si="4"/>
        <v>12.47</v>
      </c>
      <c r="G24" s="200">
        <f>'Curvas de Bojean'!C75*(D24/$B$5)^4+'Curvas de Bojean'!D75*(D24/$B$5)^3+'Curvas de Bojean'!E75*(D24/$B$5)^2+'Curvas de Bojean'!F75*(D24/$B$5)</f>
        <v>0.76043231876105599</v>
      </c>
      <c r="H24" s="200">
        <f>'Curvas de Bojean'!$C75*(E24/$B$5)^4+'Curvas de Bojean'!$D75*(E24/$B$5)^3+'Curvas de Bojean'!$E75*(E24/$B$5)^2+'Curvas de Bojean'!$F75*(E24/$B$5)</f>
        <v>0.83152636369309119</v>
      </c>
      <c r="I24" s="200">
        <f>'Curvas de Bojean'!$C75*(F24/$B$5)^4+'Curvas de Bojean'!$D75*(F24/$B$5)^3+'Curvas de Bojean'!$E75*(F24/$B$5)^2+'Curvas de Bojean'!$F75*(F24/$B$5)</f>
        <v>0.9072115605641754</v>
      </c>
      <c r="J24" s="200">
        <f t="shared" si="5"/>
        <v>269.3569801895369</v>
      </c>
      <c r="K24" s="200">
        <f t="shared" si="0"/>
        <v>294.53959904975591</v>
      </c>
      <c r="L24" s="200">
        <f t="shared" si="0"/>
        <v>321.34847548922727</v>
      </c>
      <c r="M24" s="216">
        <v>8</v>
      </c>
      <c r="P24" s="21"/>
      <c r="R24" s="215">
        <v>12</v>
      </c>
      <c r="S24" s="205">
        <v>12</v>
      </c>
      <c r="T24" s="200">
        <f t="shared" si="6"/>
        <v>277.23450071712438</v>
      </c>
      <c r="U24" s="205">
        <f t="shared" si="14"/>
        <v>3326.8140086054927</v>
      </c>
      <c r="V24" s="200">
        <f t="shared" si="7"/>
        <v>329.28803213437118</v>
      </c>
      <c r="W24" s="205">
        <f t="shared" si="8"/>
        <v>52.053531417246802</v>
      </c>
      <c r="X24" s="205">
        <f t="shared" si="15"/>
        <v>624.64237700696162</v>
      </c>
      <c r="Y24" s="205">
        <f t="shared" si="9"/>
        <v>7495.7085240835395</v>
      </c>
      <c r="Z24" s="205">
        <f t="shared" si="10"/>
        <v>0.49730012381756938</v>
      </c>
      <c r="AA24" s="205">
        <f t="shared" si="11"/>
        <v>25.886227618938573</v>
      </c>
      <c r="AB24" s="205">
        <f t="shared" si="12"/>
        <v>303.12072833606294</v>
      </c>
      <c r="AC24" s="216">
        <f t="shared" si="13"/>
        <v>3637.4487400327553</v>
      </c>
    </row>
    <row r="25" spans="1:29" x14ac:dyDescent="0.35">
      <c r="A25" s="215">
        <v>14</v>
      </c>
      <c r="B25" s="200">
        <v>0.16</v>
      </c>
      <c r="C25" s="205">
        <f t="shared" si="1"/>
        <v>0.16</v>
      </c>
      <c r="D25" s="205">
        <f t="shared" si="2"/>
        <v>10.16</v>
      </c>
      <c r="E25" s="205">
        <f t="shared" si="3"/>
        <v>11.106613984355942</v>
      </c>
      <c r="F25" s="200">
        <f t="shared" si="4"/>
        <v>12.16</v>
      </c>
      <c r="G25" s="200">
        <f>'Curvas de Bojean'!C76*(D25/$B$5)^4+'Curvas de Bojean'!D76*(D25/$B$5)^3+'Curvas de Bojean'!E76*(D25/$B$5)^2+'Curvas de Bojean'!F76*(D25/$B$5)</f>
        <v>0.72775831605456065</v>
      </c>
      <c r="H25" s="200">
        <f>'Curvas de Bojean'!$C76*(E25/$B$5)^4+'Curvas de Bojean'!$D76*(E25/$B$5)^3+'Curvas de Bojean'!$E76*(E25/$B$5)^2+'Curvas de Bojean'!$F76*(E25/$B$5)</f>
        <v>0.79679676288739576</v>
      </c>
      <c r="I25" s="200">
        <f>'Curvas de Bojean'!$C76*(F25/$B$5)^4+'Curvas de Bojean'!$D76*(F25/$B$5)^3+'Curvas de Bojean'!$E76*(F25/$B$5)^2+'Curvas de Bojean'!$F76*(F25/$B$5)</f>
        <v>0.87382060464939271</v>
      </c>
      <c r="J25" s="200">
        <f t="shared" si="5"/>
        <v>257.7833391401067</v>
      </c>
      <c r="K25" s="200">
        <f t="shared" si="0"/>
        <v>282.23783311291169</v>
      </c>
      <c r="L25" s="200">
        <f t="shared" si="0"/>
        <v>309.52087843824768</v>
      </c>
      <c r="M25" s="216">
        <v>8</v>
      </c>
      <c r="O25" s="204" t="s">
        <v>517</v>
      </c>
      <c r="P25" s="200">
        <f>E11-E31</f>
        <v>0.47986263279197772</v>
      </c>
      <c r="R25" s="215">
        <v>13</v>
      </c>
      <c r="S25" s="205">
        <v>13</v>
      </c>
      <c r="T25" s="200">
        <f t="shared" si="6"/>
        <v>269.3569801895369</v>
      </c>
      <c r="U25" s="205">
        <f t="shared" si="14"/>
        <v>3501.6407424639797</v>
      </c>
      <c r="V25" s="200">
        <f t="shared" si="7"/>
        <v>321.34847548922727</v>
      </c>
      <c r="W25" s="205">
        <f t="shared" si="8"/>
        <v>51.991495299690371</v>
      </c>
      <c r="X25" s="205">
        <f t="shared" si="15"/>
        <v>675.88943889597476</v>
      </c>
      <c r="Y25" s="205">
        <f t="shared" si="9"/>
        <v>8786.5627056476715</v>
      </c>
      <c r="Z25" s="205">
        <f t="shared" si="10"/>
        <v>0.48530355799776997</v>
      </c>
      <c r="AA25" s="205">
        <f t="shared" si="11"/>
        <v>25.231657654564071</v>
      </c>
      <c r="AB25" s="205">
        <f t="shared" si="12"/>
        <v>294.58863784410096</v>
      </c>
      <c r="AC25" s="216">
        <f t="shared" si="13"/>
        <v>3829.6522919733125</v>
      </c>
    </row>
    <row r="26" spans="1:29" x14ac:dyDescent="0.35">
      <c r="A26" s="215">
        <v>15</v>
      </c>
      <c r="B26" s="200">
        <v>-0.15</v>
      </c>
      <c r="C26" s="205">
        <f t="shared" si="1"/>
        <v>-0.15</v>
      </c>
      <c r="D26" s="205">
        <f t="shared" si="2"/>
        <v>9.85</v>
      </c>
      <c r="E26" s="205">
        <f t="shared" si="3"/>
        <v>10.772620852716342</v>
      </c>
      <c r="F26" s="200">
        <f t="shared" si="4"/>
        <v>11.85</v>
      </c>
      <c r="G26" s="200">
        <f>'Curvas de Bojean'!C77*(D26/$B$5)^4+'Curvas de Bojean'!D77*(D26/$B$5)^3+'Curvas de Bojean'!E77*(D26/$B$5)^2+'Curvas de Bojean'!F77*(D26/$B$5)</f>
        <v>0.67961075371146296</v>
      </c>
      <c r="H26" s="200">
        <f>'Curvas de Bojean'!$C77*(E26/$B$5)^4+'Curvas de Bojean'!$D77*(E26/$B$5)^3+'Curvas de Bojean'!$E77*(E26/$B$5)^2+'Curvas de Bojean'!$F77*(E26/$B$5)</f>
        <v>0.74592814096597715</v>
      </c>
      <c r="I26" s="200">
        <f>'Curvas de Bojean'!$C77*(F26/$B$5)^4+'Curvas de Bojean'!$D77*(F26/$B$5)^3+'Curvas de Bojean'!$E77*(F26/$B$5)^2+'Curvas de Bojean'!$F77*(F26/$B$5)</f>
        <v>0.8235706991365237</v>
      </c>
      <c r="J26" s="200">
        <f t="shared" si="5"/>
        <v>240.72872208049256</v>
      </c>
      <c r="K26" s="200">
        <f t="shared" si="0"/>
        <v>264.21937433740823</v>
      </c>
      <c r="L26" s="200">
        <f t="shared" si="0"/>
        <v>291.72157865860618</v>
      </c>
      <c r="M26" s="216">
        <v>8</v>
      </c>
      <c r="R26" s="215">
        <v>14</v>
      </c>
      <c r="S26" s="205">
        <v>14</v>
      </c>
      <c r="T26" s="200">
        <f t="shared" si="6"/>
        <v>257.7833391401067</v>
      </c>
      <c r="U26" s="205">
        <f t="shared" si="14"/>
        <v>3608.9667479614936</v>
      </c>
      <c r="V26" s="200">
        <f t="shared" si="7"/>
        <v>309.52087843824768</v>
      </c>
      <c r="W26" s="205">
        <f t="shared" si="8"/>
        <v>51.737539298140973</v>
      </c>
      <c r="X26" s="205">
        <f t="shared" si="15"/>
        <v>724.32555017397362</v>
      </c>
      <c r="Y26" s="205">
        <f t="shared" si="9"/>
        <v>10140.557702435632</v>
      </c>
      <c r="Z26" s="205">
        <f t="shared" si="10"/>
        <v>0.47330699217797056</v>
      </c>
      <c r="AA26" s="205">
        <f t="shared" si="11"/>
        <v>24.487739107892654</v>
      </c>
      <c r="AB26" s="205">
        <f t="shared" si="12"/>
        <v>282.27107824799936</v>
      </c>
      <c r="AC26" s="216">
        <f t="shared" si="13"/>
        <v>3951.7950954719909</v>
      </c>
    </row>
    <row r="27" spans="1:29" x14ac:dyDescent="0.35">
      <c r="A27" s="215">
        <v>16</v>
      </c>
      <c r="B27" s="200">
        <v>-0.44</v>
      </c>
      <c r="C27" s="205">
        <f t="shared" si="1"/>
        <v>-0.44</v>
      </c>
      <c r="D27" s="205">
        <f t="shared" si="2"/>
        <v>9.56</v>
      </c>
      <c r="E27" s="205">
        <f t="shared" si="3"/>
        <v>10.458627721076743</v>
      </c>
      <c r="F27" s="200">
        <f t="shared" si="4"/>
        <v>11.56</v>
      </c>
      <c r="G27" s="200">
        <f>'Curvas de Bojean'!C78*(D27/$B$5)^4+'Curvas de Bojean'!D78*(D27/$B$5)^3+'Curvas de Bojean'!E78*(D27/$B$5)^2+'Curvas de Bojean'!F78*(D27/$B$5)</f>
        <v>0.60223828274906288</v>
      </c>
      <c r="H27" s="200">
        <f>'Curvas de Bojean'!$C78*(E27/$B$5)^4+'Curvas de Bojean'!$D78*(E27/$B$5)^3+'Curvas de Bojean'!$E78*(E27/$B$5)^2+'Curvas de Bojean'!$F78*(E27/$B$5)</f>
        <v>0.66327516451414703</v>
      </c>
      <c r="I27" s="200">
        <f>'Curvas de Bojean'!$C78*(F27/$B$5)^4+'Curvas de Bojean'!$D78*(F27/$B$5)^3+'Curvas de Bojean'!$E78*(F27/$B$5)^2+'Curvas de Bojean'!$F78*(F27/$B$5)</f>
        <v>0.73848202433213261</v>
      </c>
      <c r="J27" s="200">
        <f t="shared" si="5"/>
        <v>213.3221868582786</v>
      </c>
      <c r="K27" s="200">
        <f t="shared" si="5"/>
        <v>234.94240176341981</v>
      </c>
      <c r="L27" s="200">
        <f t="shared" si="5"/>
        <v>261.5818437628277</v>
      </c>
      <c r="M27" s="216">
        <v>8</v>
      </c>
      <c r="R27" s="215">
        <v>15</v>
      </c>
      <c r="S27" s="205">
        <v>15</v>
      </c>
      <c r="T27" s="200">
        <f t="shared" si="6"/>
        <v>240.72872208049256</v>
      </c>
      <c r="U27" s="205">
        <f t="shared" si="14"/>
        <v>3610.9308312073886</v>
      </c>
      <c r="V27" s="200">
        <f t="shared" si="7"/>
        <v>291.72157865860618</v>
      </c>
      <c r="W27" s="205">
        <f t="shared" si="8"/>
        <v>50.992856578113617</v>
      </c>
      <c r="X27" s="205">
        <f t="shared" si="15"/>
        <v>764.89284867170431</v>
      </c>
      <c r="Y27" s="205">
        <f t="shared" si="9"/>
        <v>11473.392730075564</v>
      </c>
      <c r="Z27" s="205">
        <f t="shared" si="10"/>
        <v>0.4613104263581711</v>
      </c>
      <c r="AA27" s="205">
        <f t="shared" si="11"/>
        <v>23.523536409270662</v>
      </c>
      <c r="AB27" s="205">
        <f t="shared" si="12"/>
        <v>264.25225848976322</v>
      </c>
      <c r="AC27" s="216">
        <f t="shared" si="13"/>
        <v>3963.7838773464482</v>
      </c>
    </row>
    <row r="28" spans="1:29" x14ac:dyDescent="0.35">
      <c r="A28" s="215">
        <v>17</v>
      </c>
      <c r="B28" s="200">
        <v>-0.68</v>
      </c>
      <c r="C28" s="205">
        <f t="shared" si="1"/>
        <v>-0.68</v>
      </c>
      <c r="D28" s="205">
        <f t="shared" si="2"/>
        <v>9.32</v>
      </c>
      <c r="E28" s="205">
        <f t="shared" si="3"/>
        <v>10.194634589437145</v>
      </c>
      <c r="F28" s="200">
        <f t="shared" si="4"/>
        <v>11.32</v>
      </c>
      <c r="G28" s="200">
        <f>'Curvas de Bojean'!C79*(D28/$B$5)^4+'Curvas de Bojean'!D79*(D28/$B$5)^3+'Curvas de Bojean'!E79*(D28/$B$5)^2+'Curvas de Bojean'!F79*(D28/$B$5)</f>
        <v>0.4918976337902024</v>
      </c>
      <c r="H28" s="200">
        <f>'Curvas de Bojean'!$C79*(E28/$B$5)^4+'Curvas de Bojean'!$D79*(E28/$B$5)^3+'Curvas de Bojean'!$E79*(E28/$B$5)^2+'Curvas de Bojean'!$F79*(E28/$B$5)</f>
        <v>0.54367817136095398</v>
      </c>
      <c r="I28" s="200">
        <f>'Curvas de Bojean'!$C79*(F28/$B$5)^4+'Curvas de Bojean'!$D79*(F28/$B$5)^3+'Curvas de Bojean'!$E79*(F28/$B$5)^2+'Curvas de Bojean'!$F79*(F28/$B$5)</f>
        <v>0.61096614351319034</v>
      </c>
      <c r="J28" s="200">
        <f t="shared" si="5"/>
        <v>174.23780911360859</v>
      </c>
      <c r="K28" s="200">
        <f t="shared" si="5"/>
        <v>192.57928262616596</v>
      </c>
      <c r="L28" s="200">
        <f t="shared" si="5"/>
        <v>216.4137311823946</v>
      </c>
      <c r="M28" s="216">
        <v>8</v>
      </c>
      <c r="R28" s="215">
        <v>16</v>
      </c>
      <c r="S28" s="205">
        <v>16</v>
      </c>
      <c r="T28" s="200">
        <f t="shared" si="6"/>
        <v>213.3221868582786</v>
      </c>
      <c r="U28" s="205">
        <f t="shared" si="14"/>
        <v>3413.1549897324576</v>
      </c>
      <c r="V28" s="200">
        <f t="shared" si="7"/>
        <v>261.5818437628277</v>
      </c>
      <c r="W28" s="205">
        <f t="shared" si="8"/>
        <v>48.259656904549104</v>
      </c>
      <c r="X28" s="205">
        <f t="shared" si="15"/>
        <v>772.15451047278566</v>
      </c>
      <c r="Y28" s="205">
        <f t="shared" si="9"/>
        <v>12354.472167564571</v>
      </c>
      <c r="Z28" s="205">
        <f t="shared" si="10"/>
        <v>0.44931386053837163</v>
      </c>
      <c r="AA28" s="205">
        <f t="shared" si="11"/>
        <v>21.683732752040239</v>
      </c>
      <c r="AB28" s="205">
        <f t="shared" si="12"/>
        <v>235.00591961031884</v>
      </c>
      <c r="AC28" s="216">
        <f t="shared" si="13"/>
        <v>3760.0947137651015</v>
      </c>
    </row>
    <row r="29" spans="1:29" x14ac:dyDescent="0.35">
      <c r="A29" s="215">
        <v>18</v>
      </c>
      <c r="B29" s="200">
        <v>-0.85</v>
      </c>
      <c r="C29" s="205">
        <f t="shared" si="1"/>
        <v>-0.85</v>
      </c>
      <c r="D29" s="205">
        <f t="shared" si="2"/>
        <v>9.15</v>
      </c>
      <c r="E29" s="205">
        <f t="shared" si="3"/>
        <v>10.000641457797546</v>
      </c>
      <c r="F29" s="200">
        <f t="shared" si="4"/>
        <v>11.15</v>
      </c>
      <c r="G29" s="200">
        <f>'Curvas de Bojean'!C80*(D29/$B$5)^4+'Curvas de Bojean'!D80*(D29/$B$5)^3+'Curvas de Bojean'!E80*(D29/$B$5)^2+'Curvas de Bojean'!F80*(D29/$B$5)</f>
        <v>0.35689420558942664</v>
      </c>
      <c r="H29" s="200">
        <f>'Curvas de Bojean'!$C80*(E29/$B$5)^4+'Curvas de Bojean'!$D80*(E29/$B$5)^3+'Curvas de Bojean'!$E80*(E29/$B$5)^2+'Curvas de Bojean'!$F80*(E29/$B$5)</f>
        <v>0.39473424976177274</v>
      </c>
      <c r="I29" s="200">
        <f>'Curvas de Bojean'!$C80*(F29/$B$5)^4+'Curvas de Bojean'!$D80*(F29/$B$5)^3+'Curvas de Bojean'!$E80*(F29/$B$5)^2+'Curvas de Bojean'!$F80*(F29/$B$5)</f>
        <v>0.44656579911221017</v>
      </c>
      <c r="J29" s="200">
        <f t="shared" si="5"/>
        <v>126.41749054187478</v>
      </c>
      <c r="K29" s="200">
        <f t="shared" si="5"/>
        <v>139.82102400177303</v>
      </c>
      <c r="L29" s="200">
        <f t="shared" si="5"/>
        <v>158.18056668181751</v>
      </c>
      <c r="M29" s="216">
        <v>8</v>
      </c>
      <c r="R29" s="215">
        <v>17</v>
      </c>
      <c r="S29" s="205">
        <v>17</v>
      </c>
      <c r="T29" s="200">
        <f t="shared" si="6"/>
        <v>174.23780911360859</v>
      </c>
      <c r="U29" s="205">
        <f t="shared" si="14"/>
        <v>2962.0427549313463</v>
      </c>
      <c r="V29" s="200">
        <f t="shared" si="7"/>
        <v>216.4137311823946</v>
      </c>
      <c r="W29" s="205">
        <f t="shared" si="8"/>
        <v>42.175922068786008</v>
      </c>
      <c r="X29" s="205">
        <f t="shared" si="15"/>
        <v>716.99067516936213</v>
      </c>
      <c r="Y29" s="205">
        <f t="shared" si="9"/>
        <v>12188.841477879156</v>
      </c>
      <c r="Z29" s="205">
        <f t="shared" si="10"/>
        <v>0.43731729471857217</v>
      </c>
      <c r="AA29" s="205">
        <f t="shared" si="11"/>
        <v>18.444260141382824</v>
      </c>
      <c r="AB29" s="205">
        <f t="shared" si="12"/>
        <v>192.6820692549914</v>
      </c>
      <c r="AC29" s="216">
        <f t="shared" si="13"/>
        <v>3275.5951773348538</v>
      </c>
    </row>
    <row r="30" spans="1:29" x14ac:dyDescent="0.35">
      <c r="A30" s="215">
        <v>19</v>
      </c>
      <c r="B30" s="200">
        <v>-0.96</v>
      </c>
      <c r="C30" s="205">
        <f t="shared" si="1"/>
        <v>-0.96</v>
      </c>
      <c r="D30" s="205">
        <f t="shared" si="2"/>
        <v>9.0399999999999991</v>
      </c>
      <c r="E30" s="205">
        <f t="shared" si="3"/>
        <v>9.8666483261579465</v>
      </c>
      <c r="F30" s="200">
        <f t="shared" si="4"/>
        <v>11.04</v>
      </c>
      <c r="G30" s="200">
        <f>'Curvas de Bojean'!C81*(D30/$B$5)^4+'Curvas de Bojean'!D81*(D30/$B$5)^3+'Curvas de Bojean'!E81*(D30/$B$5)^2+'Curvas de Bojean'!F81*(D30/$B$5)</f>
        <v>0.18624920346241175</v>
      </c>
      <c r="H30" s="200">
        <f>'Curvas de Bojean'!$C81*(E30/$B$5)^4+'Curvas de Bojean'!$D81*(E30/$B$5)^3+'Curvas de Bojean'!$E81*(E30/$B$5)^2+'Curvas de Bojean'!$F81*(E30/$B$5)</f>
        <v>0.206019563375271</v>
      </c>
      <c r="I30" s="200">
        <f>'Curvas de Bojean'!$C81*(F30/$B$5)^4+'Curvas de Bojean'!$D81*(F30/$B$5)^3+'Curvas de Bojean'!$E81*(F30/$B$5)^2+'Curvas de Bojean'!$F81*(F30/$B$5)</f>
        <v>0.23475679184161272</v>
      </c>
      <c r="J30" s="200">
        <f t="shared" si="5"/>
        <v>65.972370939044183</v>
      </c>
      <c r="K30" s="200">
        <f t="shared" si="5"/>
        <v>72.975340581450141</v>
      </c>
      <c r="L30" s="200">
        <f t="shared" si="5"/>
        <v>83.154514832384166</v>
      </c>
      <c r="M30" s="216">
        <v>8</v>
      </c>
      <c r="R30" s="215">
        <v>18</v>
      </c>
      <c r="S30" s="205">
        <v>18</v>
      </c>
      <c r="T30" s="200">
        <f t="shared" si="6"/>
        <v>126.41749054187478</v>
      </c>
      <c r="U30" s="205">
        <f t="shared" si="14"/>
        <v>2275.5148297537462</v>
      </c>
      <c r="V30" s="200">
        <f t="shared" si="7"/>
        <v>158.18056668181751</v>
      </c>
      <c r="W30" s="205">
        <f t="shared" si="8"/>
        <v>31.763076139942726</v>
      </c>
      <c r="X30" s="205">
        <f t="shared" si="15"/>
        <v>571.73537051896903</v>
      </c>
      <c r="Y30" s="205">
        <f t="shared" si="9"/>
        <v>10291.236669341442</v>
      </c>
      <c r="Z30" s="205">
        <f t="shared" si="10"/>
        <v>0.4253207288987727</v>
      </c>
      <c r="AA30" s="205">
        <f t="shared" si="11"/>
        <v>13.509494695907655</v>
      </c>
      <c r="AB30" s="205">
        <f t="shared" si="12"/>
        <v>139.92698523778245</v>
      </c>
      <c r="AC30" s="216">
        <f t="shared" si="13"/>
        <v>2518.685734280084</v>
      </c>
    </row>
    <row r="31" spans="1:29" ht="15" thickBot="1" x14ac:dyDescent="0.4">
      <c r="A31" s="225">
        <v>20</v>
      </c>
      <c r="B31" s="227">
        <v>-1</v>
      </c>
      <c r="C31" s="226">
        <f t="shared" si="1"/>
        <v>-1</v>
      </c>
      <c r="D31" s="226">
        <f t="shared" si="2"/>
        <v>9</v>
      </c>
      <c r="E31" s="205">
        <f t="shared" si="3"/>
        <v>9.8026551945183478</v>
      </c>
      <c r="F31" s="227">
        <f t="shared" si="4"/>
        <v>11</v>
      </c>
      <c r="G31" s="200">
        <f>'Curvas de Bojean'!C82*(D31/$B$5)^4+'Curvas de Bojean'!D82*(D31/$B$5)^3+'Curvas de Bojean'!E82*(D31/$B$5)^2+'Curvas de Bojean'!F82*(D31/$B$5)</f>
        <v>-3.0899116417821421E-4</v>
      </c>
      <c r="H31" s="200">
        <f>'Curvas de Bojean'!$C82*(E31/$B$5)^4+'Curvas de Bojean'!$D82*(E31/$B$5)^3+'Curvas de Bojean'!$E82*(E31/$B$5)^2+'Curvas de Bojean'!$F82*(E31/$B$5)</f>
        <v>-1.1826301645975323E-4</v>
      </c>
      <c r="I31" s="200">
        <f>'Curvas de Bojean'!$C82*(F31/$B$5)^4+'Curvas de Bojean'!$D82*(F31/$B$5)^3+'Curvas de Bojean'!$E82*(F31/$B$5)^2+'Curvas de Bojean'!$F82*(F31/$B$5)</f>
        <v>7.6104086294316413E-4</v>
      </c>
      <c r="J31" s="200">
        <f t="shared" si="5"/>
        <v>-0.10944948660769045</v>
      </c>
      <c r="K31" s="200">
        <f t="shared" si="5"/>
        <v>-4.1890603799697439E-2</v>
      </c>
      <c r="L31" s="200">
        <f t="shared" si="5"/>
        <v>0.26957253602423842</v>
      </c>
      <c r="M31" s="216">
        <v>8</v>
      </c>
      <c r="R31" s="215">
        <v>19</v>
      </c>
      <c r="S31" s="205">
        <v>19</v>
      </c>
      <c r="T31" s="200">
        <f t="shared" si="6"/>
        <v>65.972370939044183</v>
      </c>
      <c r="U31" s="205">
        <f t="shared" si="14"/>
        <v>1253.4750478418396</v>
      </c>
      <c r="V31" s="200">
        <f t="shared" si="7"/>
        <v>83.154514832384166</v>
      </c>
      <c r="W31" s="205">
        <f t="shared" si="8"/>
        <v>17.182143893339983</v>
      </c>
      <c r="X31" s="205">
        <f t="shared" si="15"/>
        <v>326.4607339734597</v>
      </c>
      <c r="Y31" s="205">
        <f t="shared" si="9"/>
        <v>6202.7539454957341</v>
      </c>
      <c r="Z31" s="205">
        <f t="shared" si="10"/>
        <v>0.41332416307897335</v>
      </c>
      <c r="AA31" s="205">
        <f t="shared" si="11"/>
        <v>7.1017952446172412</v>
      </c>
      <c r="AB31" s="205">
        <f t="shared" si="12"/>
        <v>73.074166183661418</v>
      </c>
      <c r="AC31" s="216">
        <f t="shared" si="13"/>
        <v>1388.409157489567</v>
      </c>
    </row>
    <row r="32" spans="1:29" ht="15" thickBot="1" x14ac:dyDescent="0.4">
      <c r="G32" t="b" cm="1">
        <f t="array" ref="G32">SUMPRODUCT(--(G11:G31 &gt; H11:H31)) &gt; 0</f>
        <v>0</v>
      </c>
      <c r="K32" t="b" cm="1">
        <f t="array" ref="K32">SUMPRODUCT(--(K11:K31 &gt; L11:L31)) &gt; 0</f>
        <v>0</v>
      </c>
      <c r="R32" s="225">
        <v>20</v>
      </c>
      <c r="S32" s="226">
        <v>20</v>
      </c>
      <c r="T32" s="200">
        <f t="shared" si="6"/>
        <v>-0.10944948660769045</v>
      </c>
      <c r="U32" s="226">
        <f>T32*S32</f>
        <v>-2.188989732153809</v>
      </c>
      <c r="V32" s="200">
        <f t="shared" si="7"/>
        <v>0.26957253602423842</v>
      </c>
      <c r="W32" s="226">
        <f>V32-T32</f>
        <v>0.37902202263192886</v>
      </c>
      <c r="X32" s="226">
        <f>W32*S32</f>
        <v>7.5804404526385767</v>
      </c>
      <c r="Y32" s="226">
        <f>X32*S32</f>
        <v>151.60880905277153</v>
      </c>
      <c r="Z32" s="226">
        <f t="shared" si="10"/>
        <v>0.40132759725917388</v>
      </c>
      <c r="AA32" s="226">
        <f>W32*Z32</f>
        <v>0.15211199765118424</v>
      </c>
      <c r="AB32" s="226">
        <f>T32+AA32</f>
        <v>4.2662511043493792E-2</v>
      </c>
      <c r="AC32" s="228">
        <f>AB32*S32</f>
        <v>0.85325022086987579</v>
      </c>
    </row>
    <row r="33" spans="7:11" x14ac:dyDescent="0.35">
      <c r="G33" t="s">
        <v>527</v>
      </c>
      <c r="K33" t="s">
        <v>526</v>
      </c>
    </row>
    <row r="34" spans="7:11" x14ac:dyDescent="0.35">
      <c r="K34" s="236"/>
    </row>
  </sheetData>
  <mergeCells count="1">
    <mergeCell ref="A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F421-D889-464A-9CAF-C387151919B7}">
  <dimension ref="A1:AA47"/>
  <sheetViews>
    <sheetView topLeftCell="E15" zoomScale="70" zoomScaleNormal="70" workbookViewId="0">
      <selection activeCell="G64" sqref="G64"/>
    </sheetView>
  </sheetViews>
  <sheetFormatPr defaultRowHeight="14.5" x14ac:dyDescent="0.35"/>
  <cols>
    <col min="2" max="2" width="10.26953125" bestFit="1" customWidth="1"/>
    <col min="3" max="3" width="9.26953125" bestFit="1" customWidth="1"/>
    <col min="4" max="4" width="10.26953125" bestFit="1" customWidth="1"/>
    <col min="5" max="5" width="13.26953125" bestFit="1" customWidth="1"/>
    <col min="6" max="6" width="12.7265625" bestFit="1" customWidth="1"/>
    <col min="7" max="7" width="13.26953125" bestFit="1" customWidth="1"/>
    <col min="8" max="8" width="15.54296875" bestFit="1" customWidth="1"/>
    <col min="9" max="9" width="14.54296875" bestFit="1" customWidth="1"/>
    <col min="10" max="10" width="15.54296875" bestFit="1" customWidth="1"/>
    <col min="11" max="11" width="6.453125" bestFit="1" customWidth="1"/>
    <col min="13" max="13" width="13.7265625" bestFit="1" customWidth="1"/>
    <col min="14" max="14" width="17.1796875" bestFit="1" customWidth="1"/>
    <col min="18" max="18" width="15.1796875" bestFit="1" customWidth="1"/>
    <col min="19" max="19" width="16.7265625" bestFit="1" customWidth="1"/>
    <col min="20" max="20" width="15.1796875" bestFit="1" customWidth="1"/>
    <col min="21" max="23" width="12" bestFit="1" customWidth="1"/>
    <col min="24" max="24" width="17.7265625" bestFit="1" customWidth="1"/>
    <col min="25" max="27" width="12" bestFit="1" customWidth="1"/>
  </cols>
  <sheetData>
    <row r="1" spans="1:27" x14ac:dyDescent="0.35">
      <c r="A1" s="380" t="s">
        <v>489</v>
      </c>
      <c r="B1" s="380"/>
      <c r="C1" s="380"/>
      <c r="D1" s="380"/>
      <c r="E1" s="38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7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7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7" x14ac:dyDescent="0.35">
      <c r="A4" s="204" t="s">
        <v>6</v>
      </c>
      <c r="B4" s="200">
        <f>Prelude!F2</f>
        <v>9.9</v>
      </c>
      <c r="D4" s="204" t="s">
        <v>490</v>
      </c>
      <c r="E4" s="205">
        <v>9.5</v>
      </c>
      <c r="G4" s="204" t="s">
        <v>9</v>
      </c>
      <c r="H4" s="200">
        <v>0.77256946420898664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7" x14ac:dyDescent="0.35">
      <c r="A5" s="204" t="s">
        <v>5</v>
      </c>
      <c r="B5" s="200">
        <f>Prelude!E2</f>
        <v>13.7</v>
      </c>
      <c r="D5" s="204" t="s">
        <v>491</v>
      </c>
      <c r="E5" s="200">
        <f>E4+H6</f>
        <v>10.87</v>
      </c>
      <c r="G5" s="204" t="s">
        <v>10</v>
      </c>
      <c r="H5" s="200">
        <v>-0.11910259028757074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7" x14ac:dyDescent="0.35">
      <c r="A6" s="204" t="s">
        <v>4</v>
      </c>
      <c r="B6" s="200">
        <f>Prelude!C2</f>
        <v>187</v>
      </c>
      <c r="D6" s="204" t="s">
        <v>492</v>
      </c>
      <c r="E6" s="205">
        <f>B6/20</f>
        <v>9.35</v>
      </c>
      <c r="G6" s="204" t="s">
        <v>493</v>
      </c>
      <c r="H6" s="200">
        <f>B5/10</f>
        <v>1.3699999999999999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 spans="1:27" x14ac:dyDescent="0.35">
      <c r="A7" s="233" t="s">
        <v>523</v>
      </c>
      <c r="B7">
        <f>SUM(C11:C31)/21</f>
        <v>10.213018169065199</v>
      </c>
      <c r="J7" s="204" t="s">
        <v>522</v>
      </c>
      <c r="K7" s="205">
        <f>'SW Buoyancy Cargo'!K7</f>
        <v>354.2155870339522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 spans="1:27" ht="16" x14ac:dyDescent="0.35">
      <c r="A8" s="206"/>
      <c r="B8" s="206"/>
      <c r="C8" s="206"/>
      <c r="D8" s="206"/>
      <c r="E8" s="206"/>
      <c r="F8" s="206"/>
      <c r="G8" s="206"/>
    </row>
    <row r="9" spans="1:27" ht="16.5" thickBot="1" x14ac:dyDescent="0.4">
      <c r="A9" s="206"/>
      <c r="B9" s="206"/>
      <c r="C9" s="206"/>
      <c r="D9" s="206"/>
      <c r="E9" s="206"/>
      <c r="F9" s="206"/>
      <c r="G9" s="206"/>
    </row>
    <row r="10" spans="1:27" x14ac:dyDescent="0.35">
      <c r="A10" s="207" t="s">
        <v>58</v>
      </c>
      <c r="B10" s="208" t="s">
        <v>494</v>
      </c>
      <c r="C10" s="208" t="s">
        <v>495</v>
      </c>
      <c r="D10" s="208" t="s">
        <v>496</v>
      </c>
      <c r="E10" s="208" t="s">
        <v>497</v>
      </c>
      <c r="F10" s="208" t="s">
        <v>498</v>
      </c>
      <c r="G10" s="208" t="s">
        <v>499</v>
      </c>
      <c r="H10" s="208" t="s">
        <v>500</v>
      </c>
      <c r="I10" s="208" t="s">
        <v>501</v>
      </c>
      <c r="J10" s="209" t="s">
        <v>502</v>
      </c>
      <c r="K10" s="210" t="s">
        <v>503</v>
      </c>
      <c r="P10" s="211" t="s">
        <v>58</v>
      </c>
      <c r="Q10" s="212" t="s">
        <v>94</v>
      </c>
      <c r="R10" s="213" t="s">
        <v>504</v>
      </c>
      <c r="S10" s="208" t="s">
        <v>505</v>
      </c>
      <c r="T10" s="213" t="s">
        <v>506</v>
      </c>
      <c r="U10" s="213" t="s">
        <v>507</v>
      </c>
      <c r="V10" s="213" t="s">
        <v>508</v>
      </c>
      <c r="W10" s="213" t="s">
        <v>509</v>
      </c>
      <c r="X10" s="213" t="s">
        <v>510</v>
      </c>
      <c r="Y10" s="213" t="s">
        <v>511</v>
      </c>
      <c r="Z10" s="213" t="s">
        <v>512</v>
      </c>
      <c r="AA10" s="214" t="s">
        <v>513</v>
      </c>
    </row>
    <row r="11" spans="1:27" x14ac:dyDescent="0.35">
      <c r="A11" s="215">
        <v>0</v>
      </c>
      <c r="B11" s="205">
        <f>$E$4</f>
        <v>9.5</v>
      </c>
      <c r="C11" s="205">
        <f t="shared" ref="C11:C31" si="0">(B11)+($H$4)+(($H$5)*((Q12*$E$6)/($B$6)))</f>
        <v>10.272569464208987</v>
      </c>
      <c r="D11" s="200">
        <f>$E$5</f>
        <v>10.87</v>
      </c>
      <c r="E11" s="205">
        <f>'Curvas de Bojean'!C62*(B11/$B$5)^4+'Curvas de Bojean'!D62*(B11/$B$5)^3+'Curvas de Bojean'!E62*(B11/$B$5)^2+'Curvas de Bojean'!F62*(B11/$B$5)</f>
        <v>6.2326300096344706E-3</v>
      </c>
      <c r="F11" s="205">
        <f>'Curvas de Bojean'!$C62*(C11/$B$5)^4+'Curvas de Bojean'!$D62*(C11/$B$5)^3+'Curvas de Bojean'!$E62*(C11/$B$5)^2+'Curvas de Bojean'!$F62*(C11/$B$5)</f>
        <v>1.154371894262337E-2</v>
      </c>
      <c r="G11" s="205">
        <f>'Curvas de Bojean'!$C62*(D11/$B$5)^4+'Curvas de Bojean'!$D62*(D11/$B$5)^3+'Curvas de Bojean'!$E62*(D11/$B$5)^2+'Curvas de Bojean'!$F62*(D11/$B$5)</f>
        <v>1.7218513499721373E-2</v>
      </c>
      <c r="H11" s="200">
        <f>$K$7*E11</f>
        <v>2.2076946976281011</v>
      </c>
      <c r="I11" s="200">
        <f t="shared" ref="I11:J26" si="1">$K$7*F11</f>
        <v>4.0889651818162909</v>
      </c>
      <c r="J11" s="200">
        <f t="shared" si="1"/>
        <v>6.0990658671558373</v>
      </c>
      <c r="K11" s="216">
        <v>8</v>
      </c>
      <c r="P11" s="217"/>
      <c r="Q11" s="218"/>
      <c r="R11" s="203" t="s">
        <v>2</v>
      </c>
      <c r="S11" s="219"/>
      <c r="T11" s="203" t="s">
        <v>96</v>
      </c>
      <c r="U11" s="203" t="s">
        <v>97</v>
      </c>
      <c r="V11" s="203" t="s">
        <v>5</v>
      </c>
      <c r="W11" s="219"/>
      <c r="X11" s="203" t="s">
        <v>98</v>
      </c>
      <c r="Y11" s="203" t="s">
        <v>99</v>
      </c>
      <c r="Z11" s="203" t="s">
        <v>100</v>
      </c>
      <c r="AA11" s="220"/>
    </row>
    <row r="12" spans="1:27" x14ac:dyDescent="0.35">
      <c r="A12" s="215">
        <v>1</v>
      </c>
      <c r="B12" s="205">
        <f t="shared" ref="B12:B31" si="2">$E$4</f>
        <v>9.5</v>
      </c>
      <c r="C12" s="205">
        <f t="shared" si="0"/>
        <v>10.266614334694609</v>
      </c>
      <c r="D12" s="200">
        <f t="shared" ref="D12:D31" si="3">$E$5</f>
        <v>10.87</v>
      </c>
      <c r="E12" s="205">
        <f>'Curvas de Bojean'!C63*(B12/$B$5)^4+'Curvas de Bojean'!D63*(B12/$B$5)^3+'Curvas de Bojean'!E63*(B12/$B$5)^2+'Curvas de Bojean'!F63*(B12/$B$5)</f>
        <v>0.10263102874864127</v>
      </c>
      <c r="F12" s="205">
        <f>'Curvas de Bojean'!$C63*(C12/$B$5)^4+'Curvas de Bojean'!$D63*(C12/$B$5)^3+'Curvas de Bojean'!$E63*(C12/$B$5)^2+'Curvas de Bojean'!$F63*(C12/$B$5)</f>
        <v>0.12253211434754022</v>
      </c>
      <c r="G12" s="205">
        <f>'Curvas de Bojean'!$C63*(D12/$B$5)^4+'Curvas de Bojean'!$D63*(D12/$B$5)^3+'Curvas de Bojean'!$E63*(D12/$B$5)^2+'Curvas de Bojean'!$F63*(D12/$B$5)</f>
        <v>0.14051392572957228</v>
      </c>
      <c r="H12" s="200">
        <f t="shared" ref="H12:J31" si="4">$K$7*E12</f>
        <v>36.353510096098397</v>
      </c>
      <c r="I12" s="200">
        <f t="shared" si="1"/>
        <v>43.402784814125312</v>
      </c>
      <c r="J12" s="200">
        <f t="shared" si="1"/>
        <v>49.772222688745607</v>
      </c>
      <c r="K12" s="216">
        <v>8</v>
      </c>
      <c r="P12" s="215">
        <v>0</v>
      </c>
      <c r="Q12" s="205">
        <v>0</v>
      </c>
      <c r="R12" s="200">
        <f t="shared" ref="R12:R32" si="5">H11</f>
        <v>2.2076946976281011</v>
      </c>
      <c r="S12" s="205">
        <f>R12*Q12</f>
        <v>0</v>
      </c>
      <c r="T12" s="200">
        <f t="shared" ref="T12:T32" si="6">J11</f>
        <v>6.0990658671558373</v>
      </c>
      <c r="U12" s="200">
        <f>T12-R12</f>
        <v>3.8913711695277362</v>
      </c>
      <c r="V12" s="205">
        <f>U12*Q12</f>
        <v>0</v>
      </c>
      <c r="W12" s="205">
        <f>V12*Q12</f>
        <v>0</v>
      </c>
      <c r="X12" s="205">
        <f>($H$4/$H$6)+($H$5/$H$6)*(Q12/20)</f>
        <v>0.56391931694086617</v>
      </c>
      <c r="Y12" s="205">
        <f>U12*X12</f>
        <v>2.1944193718834604</v>
      </c>
      <c r="Z12" s="205">
        <f>R12+Y12</f>
        <v>4.4021140695115619</v>
      </c>
      <c r="AA12" s="216">
        <f>Z12*Q12</f>
        <v>0</v>
      </c>
    </row>
    <row r="13" spans="1:27" x14ac:dyDescent="0.35">
      <c r="A13" s="215">
        <v>2</v>
      </c>
      <c r="B13" s="205">
        <f t="shared" si="2"/>
        <v>9.5</v>
      </c>
      <c r="C13" s="205">
        <f t="shared" si="0"/>
        <v>10.260659205180229</v>
      </c>
      <c r="D13" s="200">
        <f t="shared" si="3"/>
        <v>10.87</v>
      </c>
      <c r="E13" s="205">
        <f>'Curvas de Bojean'!C64*(B13/$B$5)^4+'Curvas de Bojean'!D64*(B13/$B$5)^3+'Curvas de Bojean'!E64*(B13/$B$5)^2+'Curvas de Bojean'!F64*(B13/$B$5)</f>
        <v>0.24567345280256053</v>
      </c>
      <c r="F13" s="205">
        <f>'Curvas de Bojean'!$C64*(C13/$B$5)^4+'Curvas de Bojean'!$D64*(C13/$B$5)^3+'Curvas de Bojean'!$E64*(C13/$B$5)^2+'Curvas de Bojean'!$F64*(C13/$B$5)</f>
        <v>0.27971292061338332</v>
      </c>
      <c r="G13" s="205">
        <f>'Curvas de Bojean'!$C64*(D13/$B$5)^4+'Curvas de Bojean'!$D64*(D13/$B$5)^3+'Curvas de Bojean'!$E64*(D13/$B$5)^2+'Curvas de Bojean'!$F64*(D13/$B$5)</f>
        <v>0.30894169532002907</v>
      </c>
      <c r="H13" s="200">
        <f t="shared" si="4"/>
        <v>87.021366303116935</v>
      </c>
      <c r="I13" s="200">
        <f t="shared" si="1"/>
        <v>99.078676376050836</v>
      </c>
      <c r="J13" s="200">
        <f t="shared" si="1"/>
        <v>109.4319639670485</v>
      </c>
      <c r="K13" s="216">
        <v>8</v>
      </c>
      <c r="M13" s="221" t="s">
        <v>488</v>
      </c>
      <c r="N13" s="222">
        <f>1.025*E6*(SUM(Z13:Z31)+Z12/2+Z32/2)</f>
        <v>38070.465205138913</v>
      </c>
      <c r="P13" s="215">
        <v>1</v>
      </c>
      <c r="Q13" s="205">
        <v>1</v>
      </c>
      <c r="R13" s="205">
        <f t="shared" si="5"/>
        <v>36.353510096098397</v>
      </c>
      <c r="S13" s="205">
        <f>R13*Q13</f>
        <v>36.353510096098397</v>
      </c>
      <c r="T13" s="200">
        <f t="shared" si="6"/>
        <v>49.772222688745607</v>
      </c>
      <c r="U13" s="205">
        <f t="shared" ref="U13:U31" si="7">T13-R13</f>
        <v>13.418712592647211</v>
      </c>
      <c r="V13" s="205">
        <f>U13*Q13</f>
        <v>13.418712592647211</v>
      </c>
      <c r="W13" s="205">
        <f t="shared" ref="W13:W31" si="8">V13*Q13</f>
        <v>13.418712592647211</v>
      </c>
      <c r="X13" s="205">
        <f t="shared" ref="X13:X32" si="9">($H$4/$H$6)+($H$5/$H$6)*(Q13/20)</f>
        <v>0.55957250707635631</v>
      </c>
      <c r="Y13" s="205">
        <f t="shared" ref="Y13:Y31" si="10">U13*X13</f>
        <v>7.5087426472046728</v>
      </c>
      <c r="Z13" s="205">
        <f t="shared" ref="Z13:Z31" si="11">R13+Y13</f>
        <v>43.862252743303067</v>
      </c>
      <c r="AA13" s="216">
        <f t="shared" ref="AA13:AA31" si="12">Z13*Q13</f>
        <v>43.862252743303067</v>
      </c>
    </row>
    <row r="14" spans="1:27" x14ac:dyDescent="0.35">
      <c r="A14" s="215">
        <v>3</v>
      </c>
      <c r="B14" s="205">
        <f t="shared" si="2"/>
        <v>9.5</v>
      </c>
      <c r="C14" s="205">
        <f t="shared" si="0"/>
        <v>10.254704075665851</v>
      </c>
      <c r="D14" s="200">
        <f t="shared" si="3"/>
        <v>10.87</v>
      </c>
      <c r="E14" s="205">
        <f>'Curvas de Bojean'!C65*(B14/$B$5)^4+'Curvas de Bojean'!D65*(B14/$B$5)^3+'Curvas de Bojean'!E65*(B14/$B$5)^2+'Curvas de Bojean'!F65*(B14/$B$5)</f>
        <v>0.38900292115809276</v>
      </c>
      <c r="F14" s="205">
        <f>'Curvas de Bojean'!$C65*(C14/$B$5)^4+'Curvas de Bojean'!$D65*(C14/$B$5)^3+'Curvas de Bojean'!$E65*(C14/$B$5)^2+'Curvas de Bojean'!$F65*(C14/$B$5)</f>
        <v>0.43340910336987049</v>
      </c>
      <c r="G14" s="205">
        <f>'Curvas de Bojean'!$C65*(D14/$B$5)^4+'Curvas de Bojean'!$D65*(D14/$B$5)^3+'Curvas de Bojean'!$E65*(D14/$B$5)^2+'Curvas de Bojean'!$F65*(D14/$B$5)</f>
        <v>0.47094135812077265</v>
      </c>
      <c r="H14" s="200">
        <f t="shared" si="4"/>
        <v>137.79089807593604</v>
      </c>
      <c r="I14" s="200">
        <f t="shared" si="1"/>
        <v>153.52025997601754</v>
      </c>
      <c r="J14" s="200">
        <f t="shared" si="1"/>
        <v>166.81476962531619</v>
      </c>
      <c r="K14" s="216">
        <v>8</v>
      </c>
      <c r="M14" s="221" t="s">
        <v>484</v>
      </c>
      <c r="N14" s="10">
        <f>'DW + LW'!E25</f>
        <v>38070.465518607059</v>
      </c>
      <c r="P14" s="215">
        <v>2</v>
      </c>
      <c r="Q14" s="205">
        <v>2</v>
      </c>
      <c r="R14" s="205">
        <f t="shared" si="5"/>
        <v>87.021366303116935</v>
      </c>
      <c r="S14" s="205">
        <f t="shared" ref="S14:S31" si="13">R14*Q14</f>
        <v>174.04273260623387</v>
      </c>
      <c r="T14" s="205">
        <f t="shared" si="6"/>
        <v>109.4319639670485</v>
      </c>
      <c r="U14" s="205">
        <f t="shared" si="7"/>
        <v>22.410597663931568</v>
      </c>
      <c r="V14" s="205">
        <f t="shared" ref="V14:V31" si="14">U14*Q14</f>
        <v>44.821195327863137</v>
      </c>
      <c r="W14" s="205">
        <f t="shared" si="8"/>
        <v>89.642390655726274</v>
      </c>
      <c r="X14" s="205">
        <f t="shared" si="9"/>
        <v>0.55522569721184645</v>
      </c>
      <c r="Y14" s="205">
        <f t="shared" si="10"/>
        <v>12.442939712890583</v>
      </c>
      <c r="Z14" s="205">
        <f t="shared" si="11"/>
        <v>99.464306016007512</v>
      </c>
      <c r="AA14" s="216">
        <f t="shared" si="12"/>
        <v>198.92861203201502</v>
      </c>
    </row>
    <row r="15" spans="1:27" x14ac:dyDescent="0.35">
      <c r="A15" s="215">
        <v>4</v>
      </c>
      <c r="B15" s="205">
        <f t="shared" si="2"/>
        <v>9.5</v>
      </c>
      <c r="C15" s="205">
        <f t="shared" si="0"/>
        <v>10.248748946151473</v>
      </c>
      <c r="D15" s="200">
        <f t="shared" si="3"/>
        <v>10.87</v>
      </c>
      <c r="E15" s="205">
        <f>'Curvas de Bojean'!C66*(B15/$B$5)^4+'Curvas de Bojean'!D66*(B15/$B$5)^3+'Curvas de Bojean'!E66*(B15/$B$5)^2+'Curvas de Bojean'!F66*(B15/$B$5)</f>
        <v>0.51310861031841259</v>
      </c>
      <c r="F15" s="205">
        <f>'Curvas de Bojean'!$C66*(C15/$B$5)^4+'Curvas de Bojean'!$D66*(C15/$B$5)^3+'Curvas de Bojean'!$E66*(C15/$B$5)^2+'Curvas de Bojean'!$F66*(C15/$B$5)</f>
        <v>0.56373232788493621</v>
      </c>
      <c r="G15" s="205">
        <f>'Curvas de Bojean'!$C66*(D15/$B$5)^4+'Curvas de Bojean'!$D66*(D15/$B$5)^3+'Curvas de Bojean'!$E66*(D15/$B$5)^2+'Curvas de Bojean'!$F66*(D15/$B$5)</f>
        <v>0.60643519596507756</v>
      </c>
      <c r="H15" s="200">
        <f t="shared" si="4"/>
        <v>181.75106761611195</v>
      </c>
      <c r="I15" s="200">
        <f t="shared" si="1"/>
        <v>199.68277745177912</v>
      </c>
      <c r="J15" s="200">
        <f t="shared" si="1"/>
        <v>214.80879893681978</v>
      </c>
      <c r="K15" s="216">
        <v>8</v>
      </c>
      <c r="M15" s="221" t="s">
        <v>95</v>
      </c>
      <c r="N15" s="205">
        <f>ABS(N13-N14)</f>
        <v>3.1346814648713917E-4</v>
      </c>
      <c r="P15" s="215">
        <v>3</v>
      </c>
      <c r="Q15" s="205">
        <v>3</v>
      </c>
      <c r="R15" s="205">
        <f t="shared" si="5"/>
        <v>137.79089807593604</v>
      </c>
      <c r="S15" s="205">
        <f t="shared" si="13"/>
        <v>413.3726942278081</v>
      </c>
      <c r="T15" s="205">
        <f t="shared" si="6"/>
        <v>166.81476962531619</v>
      </c>
      <c r="U15" s="205">
        <f t="shared" si="7"/>
        <v>29.023871549380146</v>
      </c>
      <c r="V15" s="205">
        <f t="shared" si="14"/>
        <v>87.071614648140439</v>
      </c>
      <c r="W15" s="205">
        <f t="shared" si="8"/>
        <v>261.21484394442132</v>
      </c>
      <c r="X15" s="205">
        <f t="shared" si="9"/>
        <v>0.55087888734733648</v>
      </c>
      <c r="Y15" s="205">
        <f t="shared" si="10"/>
        <v>15.98863806563455</v>
      </c>
      <c r="Z15" s="205">
        <f>R15+Y15</f>
        <v>153.77953614157059</v>
      </c>
      <c r="AA15" s="216">
        <f t="shared" si="12"/>
        <v>461.33860842471177</v>
      </c>
    </row>
    <row r="16" spans="1:27" x14ac:dyDescent="0.35">
      <c r="A16" s="215">
        <v>5</v>
      </c>
      <c r="B16" s="205">
        <f t="shared" si="2"/>
        <v>9.5</v>
      </c>
      <c r="C16" s="205">
        <f t="shared" si="0"/>
        <v>10.242793816637095</v>
      </c>
      <c r="D16" s="200">
        <f t="shared" si="3"/>
        <v>10.87</v>
      </c>
      <c r="E16" s="205">
        <f>'Curvas de Bojean'!C67*(B16/$B$5)^4+'Curvas de Bojean'!D67*(B16/$B$5)^3+'Curvas de Bojean'!E67*(B16/$B$5)^2+'Curvas de Bojean'!F67*(B16/$B$5)</f>
        <v>0.60521580599111213</v>
      </c>
      <c r="F16" s="205">
        <f>'Curvas de Bojean'!$C67*(C16/$B$5)^4+'Curvas de Bojean'!$D67*(C16/$B$5)^3+'Curvas de Bojean'!$E67*(C16/$B$5)^2+'Curvas de Bojean'!$F67*(C16/$B$5)</f>
        <v>0.65863174888365239</v>
      </c>
      <c r="G16" s="205">
        <f>'Curvas de Bojean'!$C67*(D16/$B$5)^4+'Curvas de Bojean'!$D67*(D16/$B$5)^3+'Curvas de Bojean'!$E67*(D16/$B$5)^2+'Curvas de Bojean'!$F67*(D16/$B$5)</f>
        <v>0.70397062746044592</v>
      </c>
      <c r="H16" s="200">
        <f t="shared" si="4"/>
        <v>214.3768720013683</v>
      </c>
      <c r="I16" s="200">
        <f t="shared" si="1"/>
        <v>233.29763157002154</v>
      </c>
      <c r="J16" s="200">
        <f t="shared" si="1"/>
        <v>249.35736906056152</v>
      </c>
      <c r="K16" s="216">
        <v>8</v>
      </c>
      <c r="M16" s="221" t="s">
        <v>514</v>
      </c>
      <c r="N16" s="223">
        <f>N15/N14</f>
        <v>8.233893182470559E-9</v>
      </c>
      <c r="P16" s="215">
        <v>4</v>
      </c>
      <c r="Q16" s="205">
        <v>4</v>
      </c>
      <c r="R16" s="205">
        <f t="shared" si="5"/>
        <v>181.75106761611195</v>
      </c>
      <c r="S16" s="205">
        <f t="shared" si="13"/>
        <v>727.00427046444781</v>
      </c>
      <c r="T16" s="205">
        <f t="shared" si="6"/>
        <v>214.80879893681978</v>
      </c>
      <c r="U16" s="205">
        <f t="shared" si="7"/>
        <v>33.05773132070783</v>
      </c>
      <c r="V16" s="205">
        <f t="shared" si="14"/>
        <v>132.23092528283132</v>
      </c>
      <c r="W16" s="205">
        <f t="shared" si="8"/>
        <v>528.92370113132529</v>
      </c>
      <c r="X16" s="205">
        <f t="shared" si="9"/>
        <v>0.54653207748282662</v>
      </c>
      <c r="Y16" s="205">
        <f t="shared" si="10"/>
        <v>18.067110575575555</v>
      </c>
      <c r="Z16" s="205">
        <f t="shared" si="11"/>
        <v>199.81817819168751</v>
      </c>
      <c r="AA16" s="216">
        <f t="shared" si="12"/>
        <v>799.27271276675003</v>
      </c>
    </row>
    <row r="17" spans="1:27" x14ac:dyDescent="0.35">
      <c r="A17" s="215">
        <v>6</v>
      </c>
      <c r="B17" s="205">
        <f t="shared" si="2"/>
        <v>9.5</v>
      </c>
      <c r="C17" s="205">
        <f t="shared" si="0"/>
        <v>10.236838687122715</v>
      </c>
      <c r="D17" s="200">
        <f t="shared" si="3"/>
        <v>10.87</v>
      </c>
      <c r="E17" s="205">
        <f>'Curvas de Bojean'!C68*(B17/$B$5)^4+'Curvas de Bojean'!D68*(B17/$B$5)^3+'Curvas de Bojean'!E68*(B17/$B$5)^2+'Curvas de Bojean'!F68*(B17/$B$5)</f>
        <v>0.66065154420815742</v>
      </c>
      <c r="F17" s="205">
        <f>'Curvas de Bojean'!$C68*(C17/$B$5)^4+'Curvas de Bojean'!$D68*(C17/$B$5)^3+'Curvas de Bojean'!$E68*(C17/$B$5)^2+'Curvas de Bojean'!$F68*(C17/$B$5)</f>
        <v>0.71448670120033198</v>
      </c>
      <c r="G17" s="205">
        <f>'Curvas de Bojean'!$C68*(D17/$B$5)^4+'Curvas de Bojean'!$D68*(D17/$B$5)^3+'Curvas de Bojean'!$E68*(D17/$B$5)^2+'Curvas de Bojean'!$F68*(D17/$B$5)</f>
        <v>0.7607541001913205</v>
      </c>
      <c r="H17" s="200">
        <f t="shared" si="4"/>
        <v>234.01307455657951</v>
      </c>
      <c r="I17" s="200">
        <f t="shared" si="1"/>
        <v>253.0823262936276</v>
      </c>
      <c r="J17" s="200">
        <f t="shared" si="1"/>
        <v>269.47096018775466</v>
      </c>
      <c r="K17" s="216">
        <v>8</v>
      </c>
      <c r="P17" s="215">
        <v>5</v>
      </c>
      <c r="Q17" s="205">
        <v>5</v>
      </c>
      <c r="R17" s="205">
        <f t="shared" si="5"/>
        <v>214.3768720013683</v>
      </c>
      <c r="S17" s="205">
        <f t="shared" si="13"/>
        <v>1071.8843600068415</v>
      </c>
      <c r="T17" s="205">
        <f t="shared" si="6"/>
        <v>249.35736906056152</v>
      </c>
      <c r="U17" s="205">
        <f t="shared" si="7"/>
        <v>34.980497059193226</v>
      </c>
      <c r="V17" s="205">
        <f t="shared" si="14"/>
        <v>174.90248529596613</v>
      </c>
      <c r="W17" s="205">
        <f t="shared" si="8"/>
        <v>874.51242647983065</v>
      </c>
      <c r="X17" s="205">
        <f t="shared" si="9"/>
        <v>0.54218526761831676</v>
      </c>
      <c r="Y17" s="205">
        <f t="shared" si="10"/>
        <v>18.965910159460421</v>
      </c>
      <c r="Z17" s="205">
        <f t="shared" si="11"/>
        <v>233.34278216082873</v>
      </c>
      <c r="AA17" s="216">
        <f t="shared" si="12"/>
        <v>1166.7139108041438</v>
      </c>
    </row>
    <row r="18" spans="1:27" x14ac:dyDescent="0.35">
      <c r="A18" s="215">
        <v>7</v>
      </c>
      <c r="B18" s="205">
        <f t="shared" si="2"/>
        <v>9.5</v>
      </c>
      <c r="C18" s="205">
        <f t="shared" si="0"/>
        <v>10.230883557608337</v>
      </c>
      <c r="D18" s="200">
        <f t="shared" si="3"/>
        <v>10.87</v>
      </c>
      <c r="E18" s="205">
        <f>'Curvas de Bojean'!C69*(B18/$B$5)^4+'Curvas de Bojean'!D69*(B18/$B$5)^3+'Curvas de Bojean'!E69*(B18/$B$5)^2+'Curvas de Bojean'!F69*(B18/$B$5)</f>
        <v>0.6849376777612749</v>
      </c>
      <c r="F18" s="205">
        <f>'Curvas de Bojean'!$C69*(C18/$B$5)^4+'Curvas de Bojean'!$D69*(C18/$B$5)^3+'Curvas de Bojean'!$E69*(C18/$B$5)^2+'Curvas de Bojean'!$F69*(C18/$B$5)</f>
        <v>0.73854457617276614</v>
      </c>
      <c r="G18" s="205">
        <f>'Curvas de Bojean'!$C69*(D18/$B$5)^4+'Curvas de Bojean'!$D69*(D18/$B$5)^3+'Curvas de Bojean'!$E69*(D18/$B$5)^2+'Curvas de Bojean'!$F69*(D18/$B$5)</f>
        <v>0.78538943152955232</v>
      </c>
      <c r="H18" s="200">
        <f t="shared" si="4"/>
        <v>242.61560160988199</v>
      </c>
      <c r="I18" s="200">
        <f t="shared" si="1"/>
        <v>261.60400059977781</v>
      </c>
      <c r="J18" s="200">
        <f t="shared" si="1"/>
        <v>278.19717853950237</v>
      </c>
      <c r="K18" s="216">
        <v>8</v>
      </c>
      <c r="P18" s="215">
        <v>6</v>
      </c>
      <c r="Q18" s="205">
        <v>6</v>
      </c>
      <c r="R18" s="205">
        <f t="shared" si="5"/>
        <v>234.01307455657951</v>
      </c>
      <c r="S18" s="205">
        <f t="shared" si="13"/>
        <v>1404.078447339477</v>
      </c>
      <c r="T18" s="205">
        <f t="shared" si="6"/>
        <v>269.47096018775466</v>
      </c>
      <c r="U18" s="205">
        <f t="shared" si="7"/>
        <v>35.457885631175145</v>
      </c>
      <c r="V18" s="205">
        <f t="shared" si="14"/>
        <v>212.74731378705087</v>
      </c>
      <c r="W18" s="205">
        <f t="shared" si="8"/>
        <v>1276.4838827223052</v>
      </c>
      <c r="X18" s="205">
        <f t="shared" si="9"/>
        <v>0.5378384577538069</v>
      </c>
      <c r="Y18" s="205">
        <f t="shared" si="10"/>
        <v>19.07061452308211</v>
      </c>
      <c r="Z18" s="205">
        <f t="shared" si="11"/>
        <v>253.08368907966161</v>
      </c>
      <c r="AA18" s="216">
        <f t="shared" si="12"/>
        <v>1518.5021344779698</v>
      </c>
    </row>
    <row r="19" spans="1:27" x14ac:dyDescent="0.35">
      <c r="A19" s="215">
        <v>8</v>
      </c>
      <c r="B19" s="205">
        <f t="shared" si="2"/>
        <v>9.5</v>
      </c>
      <c r="C19" s="205">
        <f t="shared" si="0"/>
        <v>10.224928428093959</v>
      </c>
      <c r="D19" s="200">
        <f t="shared" si="3"/>
        <v>10.87</v>
      </c>
      <c r="E19" s="205">
        <f>'Curvas de Bojean'!C70*(B19/$B$5)^4+'Curvas de Bojean'!D70*(B19/$B$5)^3+'Curvas de Bojean'!E70*(B19/$B$5)^2+'Curvas de Bojean'!F70*(B19/$B$5)</f>
        <v>0.69080130302906539</v>
      </c>
      <c r="F19" s="205">
        <f>'Curvas de Bojean'!$C70*(C19/$B$5)^4+'Curvas de Bojean'!$D70*(C19/$B$5)^3+'Curvas de Bojean'!$E70*(C19/$B$5)^2+'Curvas de Bojean'!$F70*(C19/$B$5)</f>
        <v>0.74392113582771402</v>
      </c>
      <c r="G19" s="205">
        <f>'Curvas de Bojean'!$C70*(D19/$B$5)^4+'Curvas de Bojean'!$D70*(D19/$B$5)^3+'Curvas de Bojean'!$E70*(D19/$B$5)^2+'Curvas de Bojean'!$F70*(D19/$B$5)</f>
        <v>0.79115737523063501</v>
      </c>
      <c r="H19" s="200">
        <f t="shared" si="4"/>
        <v>244.69258907625951</v>
      </c>
      <c r="I19" s="200">
        <f t="shared" si="1"/>
        <v>263.50846183417821</v>
      </c>
      <c r="J19" s="200">
        <f t="shared" si="1"/>
        <v>280.24027410356018</v>
      </c>
      <c r="K19" s="216">
        <v>8</v>
      </c>
      <c r="M19" s="221" t="s">
        <v>1</v>
      </c>
      <c r="N19" s="205">
        <f>E6*((SUM(AA12:AA32))/(SUM(Z12:Z32)))-B6/2</f>
        <v>2.6511763185355477</v>
      </c>
      <c r="P19" s="215">
        <v>7</v>
      </c>
      <c r="Q19" s="205">
        <v>7</v>
      </c>
      <c r="R19" s="205">
        <f t="shared" si="5"/>
        <v>242.61560160988199</v>
      </c>
      <c r="S19" s="205">
        <f t="shared" si="13"/>
        <v>1698.3092112691738</v>
      </c>
      <c r="T19" s="205">
        <f t="shared" si="6"/>
        <v>278.19717853950237</v>
      </c>
      <c r="U19" s="205">
        <f t="shared" si="7"/>
        <v>35.581576929620383</v>
      </c>
      <c r="V19" s="205">
        <f t="shared" si="14"/>
        <v>249.07103850734268</v>
      </c>
      <c r="W19" s="205">
        <f t="shared" si="8"/>
        <v>1743.4972695513989</v>
      </c>
      <c r="X19" s="205">
        <f t="shared" si="9"/>
        <v>0.53349164788929704</v>
      </c>
      <c r="Y19" s="205">
        <f t="shared" si="10"/>
        <v>18.982474110682972</v>
      </c>
      <c r="Z19" s="205">
        <f t="shared" si="11"/>
        <v>261.59807572056496</v>
      </c>
      <c r="AA19" s="216">
        <f t="shared" si="12"/>
        <v>1831.1865300439547</v>
      </c>
    </row>
    <row r="20" spans="1:27" x14ac:dyDescent="0.35">
      <c r="A20" s="215">
        <v>9</v>
      </c>
      <c r="B20" s="205">
        <f t="shared" si="2"/>
        <v>9.5</v>
      </c>
      <c r="C20" s="205">
        <f t="shared" si="0"/>
        <v>10.218973298579581</v>
      </c>
      <c r="D20" s="200">
        <f t="shared" si="3"/>
        <v>10.87</v>
      </c>
      <c r="E20" s="205">
        <f>'Curvas de Bojean'!C71*(B20/$B$5)^4+'Curvas de Bojean'!D71*(B20/$B$5)^3+'Curvas de Bojean'!E71*(B20/$B$5)^2+'Curvas de Bojean'!F71*(B20/$B$5)</f>
        <v>0.69106739109180648</v>
      </c>
      <c r="F20" s="205">
        <f>'Curvas de Bojean'!$C71*(C20/$B$5)^4+'Curvas de Bojean'!$D71*(C20/$B$5)^3+'Curvas de Bojean'!$E71*(C20/$B$5)^2+'Curvas de Bojean'!$F71*(C20/$B$5)</f>
        <v>0.7437465742864513</v>
      </c>
      <c r="G20" s="205">
        <f>'Curvas de Bojean'!$C71*(D20/$B$5)^4+'Curvas de Bojean'!$D71*(D20/$B$5)^3+'Curvas de Bojean'!$E71*(D20/$B$5)^2+'Curvas de Bojean'!$F71*(D20/$B$5)</f>
        <v>0.79141529341803607</v>
      </c>
      <c r="H20" s="200">
        <f t="shared" si="4"/>
        <v>244.78684161560608</v>
      </c>
      <c r="I20" s="200">
        <f t="shared" si="1"/>
        <v>263.44662941536632</v>
      </c>
      <c r="J20" s="200">
        <f t="shared" si="1"/>
        <v>280.33163274571717</v>
      </c>
      <c r="K20" s="216">
        <v>8</v>
      </c>
      <c r="M20" s="221" t="s">
        <v>515</v>
      </c>
      <c r="N20" s="200">
        <f>'DW + LW'!O23</f>
        <v>2.651176164769995</v>
      </c>
      <c r="P20" s="215">
        <v>8</v>
      </c>
      <c r="Q20" s="205">
        <v>8</v>
      </c>
      <c r="R20" s="205">
        <f t="shared" si="5"/>
        <v>244.69258907625951</v>
      </c>
      <c r="S20" s="205">
        <f t="shared" si="13"/>
        <v>1957.5407126100761</v>
      </c>
      <c r="T20" s="205">
        <f t="shared" si="6"/>
        <v>280.24027410356018</v>
      </c>
      <c r="U20" s="205">
        <f t="shared" si="7"/>
        <v>35.547685027300673</v>
      </c>
      <c r="V20" s="205">
        <f t="shared" si="14"/>
        <v>284.38148021840539</v>
      </c>
      <c r="W20" s="205">
        <f t="shared" si="8"/>
        <v>2275.0518417472431</v>
      </c>
      <c r="X20" s="205">
        <f t="shared" si="9"/>
        <v>0.52914483802478707</v>
      </c>
      <c r="Y20" s="205">
        <f t="shared" si="10"/>
        <v>18.809874035927162</v>
      </c>
      <c r="Z20" s="205">
        <f t="shared" si="11"/>
        <v>263.50246311218666</v>
      </c>
      <c r="AA20" s="216">
        <f t="shared" si="12"/>
        <v>2108.0197048974933</v>
      </c>
    </row>
    <row r="21" spans="1:27" x14ac:dyDescent="0.35">
      <c r="A21" s="215">
        <v>10</v>
      </c>
      <c r="B21" s="205">
        <f t="shared" si="2"/>
        <v>9.5</v>
      </c>
      <c r="C21" s="205">
        <f t="shared" si="0"/>
        <v>10.213018169065201</v>
      </c>
      <c r="D21" s="200">
        <f t="shared" si="3"/>
        <v>10.87</v>
      </c>
      <c r="E21" s="205">
        <f>'Curvas de Bojean'!C72*(B21/$B$5)^4+'Curvas de Bojean'!D72*(B21/$B$5)^3+'Curvas de Bojean'!E72*(B21/$B$5)^2+'Curvas de Bojean'!F72*(B21/$B$5)</f>
        <v>0.69133347915454757</v>
      </c>
      <c r="F21" s="205">
        <f>'Curvas de Bojean'!$C72*(C21/$B$5)^4+'Curvas de Bojean'!$D72*(C21/$B$5)^3+'Curvas de Bojean'!$E72*(C21/$B$5)^2+'Curvas de Bojean'!$F72*(C21/$B$5)</f>
        <v>0.7435720832864291</v>
      </c>
      <c r="G21" s="205">
        <f>'Curvas de Bojean'!$C72*(D21/$B$5)^4+'Curvas de Bojean'!$D72*(D21/$B$5)^3+'Curvas de Bojean'!$E72*(D21/$B$5)^2+'Curvas de Bojean'!$F72*(D21/$B$5)</f>
        <v>0.79167321160543735</v>
      </c>
      <c r="H21" s="200">
        <f t="shared" si="4"/>
        <v>244.88109415495262</v>
      </c>
      <c r="I21" s="200">
        <f t="shared" si="1"/>
        <v>263.38482198336129</v>
      </c>
      <c r="J21" s="200">
        <f t="shared" si="1"/>
        <v>280.42299138787428</v>
      </c>
      <c r="K21" s="216">
        <v>8</v>
      </c>
      <c r="M21" s="221" t="s">
        <v>516</v>
      </c>
      <c r="N21" s="224">
        <f>(N19-N20)</f>
        <v>1.5376555273505232E-7</v>
      </c>
      <c r="P21" s="215">
        <v>9</v>
      </c>
      <c r="Q21" s="205">
        <v>9</v>
      </c>
      <c r="R21" s="205">
        <f t="shared" si="5"/>
        <v>244.78684161560608</v>
      </c>
      <c r="S21" s="205">
        <f t="shared" si="13"/>
        <v>2203.0815745404548</v>
      </c>
      <c r="T21" s="205">
        <f t="shared" si="6"/>
        <v>280.33163274571717</v>
      </c>
      <c r="U21" s="205">
        <f t="shared" si="7"/>
        <v>35.544791130111093</v>
      </c>
      <c r="V21" s="205">
        <f t="shared" si="14"/>
        <v>319.90312017099984</v>
      </c>
      <c r="W21" s="205">
        <f t="shared" si="8"/>
        <v>2879.1280815389987</v>
      </c>
      <c r="X21" s="205">
        <f t="shared" si="9"/>
        <v>0.52479802816027721</v>
      </c>
      <c r="Y21" s="205">
        <f t="shared" si="10"/>
        <v>18.653836296451214</v>
      </c>
      <c r="Z21" s="205">
        <f t="shared" si="11"/>
        <v>263.44067791205731</v>
      </c>
      <c r="AA21" s="216">
        <f t="shared" si="12"/>
        <v>2370.9661012085157</v>
      </c>
    </row>
    <row r="22" spans="1:27" x14ac:dyDescent="0.35">
      <c r="A22" s="215">
        <v>11</v>
      </c>
      <c r="B22" s="205">
        <f t="shared" si="2"/>
        <v>9.5</v>
      </c>
      <c r="C22" s="205">
        <f t="shared" si="0"/>
        <v>10.207063039550823</v>
      </c>
      <c r="D22" s="200">
        <f t="shared" si="3"/>
        <v>10.87</v>
      </c>
      <c r="E22" s="205">
        <f>'Curvas de Bojean'!C73*(B22/$B$5)^4+'Curvas de Bojean'!D73*(B22/$B$5)^3+'Curvas de Bojean'!E73*(B22/$B$5)^2+'Curvas de Bojean'!F73*(B22/$B$5)</f>
        <v>0.69159956721728877</v>
      </c>
      <c r="F22" s="205">
        <f>'Curvas de Bojean'!$C73*(C22/$B$5)^4+'Curvas de Bojean'!$D73*(C22/$B$5)^3+'Curvas de Bojean'!$E73*(C22/$B$5)^2+'Curvas de Bojean'!$F73*(C22/$B$5)</f>
        <v>0.74339766289910636</v>
      </c>
      <c r="G22" s="205">
        <f>'Curvas de Bojean'!$C73*(D22/$B$5)^4+'Curvas de Bojean'!$D73*(D22/$B$5)^3+'Curvas de Bojean'!$E73*(D22/$B$5)^2+'Curvas de Bojean'!$F73*(D22/$B$5)</f>
        <v>0.79193112979283875</v>
      </c>
      <c r="H22" s="200">
        <f t="shared" si="4"/>
        <v>244.97534669429922</v>
      </c>
      <c r="I22" s="200">
        <f t="shared" si="1"/>
        <v>263.32303956347505</v>
      </c>
      <c r="J22" s="200">
        <f t="shared" si="1"/>
        <v>280.51435003003138</v>
      </c>
      <c r="K22" s="216">
        <v>8</v>
      </c>
      <c r="M22" s="221" t="s">
        <v>514</v>
      </c>
      <c r="N22" s="223">
        <f>N21/ABS(N20)</f>
        <v>5.7998994853060771E-8</v>
      </c>
      <c r="P22" s="215">
        <v>10</v>
      </c>
      <c r="Q22" s="205">
        <v>10</v>
      </c>
      <c r="R22" s="205">
        <f t="shared" si="5"/>
        <v>244.88109415495262</v>
      </c>
      <c r="S22" s="205">
        <f t="shared" si="13"/>
        <v>2448.8109415495264</v>
      </c>
      <c r="T22" s="205">
        <f t="shared" si="6"/>
        <v>280.42299138787428</v>
      </c>
      <c r="U22" s="205">
        <f t="shared" si="7"/>
        <v>35.541897232921656</v>
      </c>
      <c r="V22" s="205">
        <f t="shared" si="14"/>
        <v>355.41897232921656</v>
      </c>
      <c r="W22" s="205">
        <f t="shared" si="8"/>
        <v>3554.1897232921656</v>
      </c>
      <c r="X22" s="205">
        <f t="shared" si="9"/>
        <v>0.52045121829576735</v>
      </c>
      <c r="Y22" s="205">
        <f t="shared" si="10"/>
        <v>18.497823715417038</v>
      </c>
      <c r="Z22" s="205">
        <f t="shared" si="11"/>
        <v>263.37891787036966</v>
      </c>
      <c r="AA22" s="216">
        <f t="shared" si="12"/>
        <v>2633.7891787036965</v>
      </c>
    </row>
    <row r="23" spans="1:27" x14ac:dyDescent="0.35">
      <c r="A23" s="215">
        <v>12</v>
      </c>
      <c r="B23" s="205">
        <f t="shared" si="2"/>
        <v>9.5</v>
      </c>
      <c r="C23" s="205">
        <f t="shared" si="0"/>
        <v>10.201107910036445</v>
      </c>
      <c r="D23" s="200">
        <f t="shared" si="3"/>
        <v>10.87</v>
      </c>
      <c r="E23" s="205">
        <f>'Curvas de Bojean'!C74*(B23/$B$5)^4+'Curvas de Bojean'!D74*(B23/$B$5)^3+'Curvas de Bojean'!E74*(B23/$B$5)^2+'Curvas de Bojean'!F74*(B23/$B$5)</f>
        <v>0.69186565528002952</v>
      </c>
      <c r="F23" s="205">
        <f>'Curvas de Bojean'!$C74*(C23/$B$5)^4+'Curvas de Bojean'!$D74*(C23/$B$5)^3+'Curvas de Bojean'!$E74*(C23/$B$5)^2+'Curvas de Bojean'!$F74*(C23/$B$5)</f>
        <v>0.74322331319383217</v>
      </c>
      <c r="G23" s="205">
        <f>'Curvas de Bojean'!$C74*(D23/$B$5)^4+'Curvas de Bojean'!$D74*(D23/$B$5)^3+'Curvas de Bojean'!$E74*(D23/$B$5)^2+'Curvas de Bojean'!$F74*(D23/$B$5)</f>
        <v>0.79218904798023959</v>
      </c>
      <c r="H23" s="200">
        <f t="shared" si="4"/>
        <v>245.06959923364568</v>
      </c>
      <c r="I23" s="200">
        <f t="shared" si="1"/>
        <v>263.26128218027219</v>
      </c>
      <c r="J23" s="200">
        <f t="shared" si="1"/>
        <v>280.60570867218831</v>
      </c>
      <c r="K23" s="216">
        <v>8</v>
      </c>
      <c r="P23" s="215">
        <v>11</v>
      </c>
      <c r="Q23" s="205">
        <v>11</v>
      </c>
      <c r="R23" s="205">
        <f t="shared" si="5"/>
        <v>244.97534669429922</v>
      </c>
      <c r="S23" s="205">
        <f t="shared" si="13"/>
        <v>2694.7288136372913</v>
      </c>
      <c r="T23" s="205">
        <f t="shared" si="6"/>
        <v>280.51435003003138</v>
      </c>
      <c r="U23" s="205">
        <f t="shared" si="7"/>
        <v>35.539003335732161</v>
      </c>
      <c r="V23" s="205">
        <f t="shared" si="14"/>
        <v>390.92903669305377</v>
      </c>
      <c r="W23" s="205">
        <f t="shared" si="8"/>
        <v>4300.2194036235915</v>
      </c>
      <c r="X23" s="205">
        <f t="shared" si="9"/>
        <v>0.51610440843125749</v>
      </c>
      <c r="Y23" s="205">
        <f t="shared" si="10"/>
        <v>18.341836292824535</v>
      </c>
      <c r="Z23" s="205">
        <f t="shared" si="11"/>
        <v>263.31718298712377</v>
      </c>
      <c r="AA23" s="216">
        <f t="shared" si="12"/>
        <v>2896.4890128583615</v>
      </c>
    </row>
    <row r="24" spans="1:27" x14ac:dyDescent="0.35">
      <c r="A24" s="215">
        <v>13</v>
      </c>
      <c r="B24" s="205">
        <f t="shared" si="2"/>
        <v>9.5</v>
      </c>
      <c r="C24" s="205">
        <f t="shared" si="0"/>
        <v>10.195152780522065</v>
      </c>
      <c r="D24" s="200">
        <f t="shared" si="3"/>
        <v>10.87</v>
      </c>
      <c r="E24" s="205">
        <f>'Curvas de Bojean'!C75*(B24/$B$5)^4+'Curvas de Bojean'!D75*(B24/$B$5)^3+'Curvas de Bojean'!E75*(B24/$B$5)^2+'Curvas de Bojean'!F75*(B24/$B$5)</f>
        <v>0.68937805969704535</v>
      </c>
      <c r="F24" s="205">
        <f>'Curvas de Bojean'!$C75*(C24/$B$5)^4+'Curvas de Bojean'!$D75*(C24/$B$5)^3+'Curvas de Bojean'!$E75*(C24/$B$5)^2+'Curvas de Bojean'!$F75*(C24/$B$5)</f>
        <v>0.74030871841044765</v>
      </c>
      <c r="G24" s="205">
        <f>'Curvas de Bojean'!$C75*(D24/$B$5)^4+'Curvas de Bojean'!$D75*(D24/$B$5)^3+'Curvas de Bojean'!$E75*(D24/$B$5)^2+'Curvas de Bojean'!$F75*(D24/$B$5)</f>
        <v>0.7897189741060151</v>
      </c>
      <c r="H24" s="200">
        <f t="shared" si="4"/>
        <v>244.18845410391586</v>
      </c>
      <c r="I24" s="200">
        <f t="shared" si="1"/>
        <v>262.22888727810954</v>
      </c>
      <c r="J24" s="200">
        <f t="shared" si="1"/>
        <v>279.73077000481265</v>
      </c>
      <c r="K24" s="216">
        <v>8</v>
      </c>
      <c r="P24" s="215">
        <v>12</v>
      </c>
      <c r="Q24" s="205">
        <v>12</v>
      </c>
      <c r="R24" s="205">
        <f t="shared" si="5"/>
        <v>245.06959923364568</v>
      </c>
      <c r="S24" s="205">
        <f t="shared" si="13"/>
        <v>2940.835190803748</v>
      </c>
      <c r="T24" s="205">
        <f t="shared" si="6"/>
        <v>280.60570867218831</v>
      </c>
      <c r="U24" s="205">
        <f t="shared" si="7"/>
        <v>35.536109438542638</v>
      </c>
      <c r="V24" s="205">
        <f t="shared" si="14"/>
        <v>426.43331326251166</v>
      </c>
      <c r="W24" s="205">
        <f t="shared" si="8"/>
        <v>5117.1997591501404</v>
      </c>
      <c r="X24" s="205">
        <f t="shared" si="9"/>
        <v>0.51175759856674763</v>
      </c>
      <c r="Y24" s="205">
        <f t="shared" si="10"/>
        <v>18.185874028673716</v>
      </c>
      <c r="Z24" s="205">
        <f t="shared" si="11"/>
        <v>263.25547326231941</v>
      </c>
      <c r="AA24" s="216">
        <f t="shared" si="12"/>
        <v>3159.0656791478332</v>
      </c>
    </row>
    <row r="25" spans="1:27" x14ac:dyDescent="0.35">
      <c r="A25" s="215">
        <v>14</v>
      </c>
      <c r="B25" s="205">
        <f t="shared" si="2"/>
        <v>9.5</v>
      </c>
      <c r="C25" s="205">
        <f t="shared" si="0"/>
        <v>10.189197651007687</v>
      </c>
      <c r="D25" s="200">
        <f t="shared" si="3"/>
        <v>10.87</v>
      </c>
      <c r="E25" s="205">
        <f>'Curvas de Bojean'!C76*(B25/$B$5)^4+'Curvas de Bojean'!D76*(B25/$B$5)^3+'Curvas de Bojean'!E76*(B25/$B$5)^2+'Curvas de Bojean'!F76*(B25/$B$5)</f>
        <v>0.67961786373915611</v>
      </c>
      <c r="F25" s="205">
        <f>'Curvas de Bojean'!$C76*(C25/$B$5)^4+'Curvas de Bojean'!$D76*(C25/$B$5)^3+'Curvas de Bojean'!$E76*(C25/$B$5)^2+'Curvas de Bojean'!$F76*(C25/$B$5)</f>
        <v>0.72988735566280338</v>
      </c>
      <c r="G25" s="205">
        <f>'Curvas de Bojean'!$C76*(D25/$B$5)^4+'Curvas de Bojean'!$D76*(D25/$B$5)^3+'Curvas de Bojean'!$E76*(D25/$B$5)^2+'Curvas de Bojean'!$F76*(D25/$B$5)</f>
        <v>0.77953352320047475</v>
      </c>
      <c r="H25" s="200">
        <f t="shared" si="4"/>
        <v>240.73124056312571</v>
      </c>
      <c r="I25" s="200">
        <f t="shared" si="1"/>
        <v>258.53747815475896</v>
      </c>
      <c r="J25" s="200">
        <f t="shared" si="1"/>
        <v>276.12292453310118</v>
      </c>
      <c r="K25" s="216">
        <v>8</v>
      </c>
      <c r="M25" s="221" t="s">
        <v>517</v>
      </c>
      <c r="N25" s="205">
        <f>C11-C31</f>
        <v>0.11910259028757153</v>
      </c>
      <c r="P25" s="215">
        <v>13</v>
      </c>
      <c r="Q25" s="205">
        <v>13</v>
      </c>
      <c r="R25" s="205">
        <f t="shared" si="5"/>
        <v>244.18845410391586</v>
      </c>
      <c r="S25" s="205">
        <f t="shared" si="13"/>
        <v>3174.449903350906</v>
      </c>
      <c r="T25" s="205">
        <f t="shared" si="6"/>
        <v>279.73077000481265</v>
      </c>
      <c r="U25" s="205">
        <f t="shared" si="7"/>
        <v>35.542315900896796</v>
      </c>
      <c r="V25" s="205">
        <f t="shared" si="14"/>
        <v>462.05010671165837</v>
      </c>
      <c r="W25" s="205">
        <f t="shared" si="8"/>
        <v>6006.6513872515588</v>
      </c>
      <c r="X25" s="205">
        <f t="shared" si="9"/>
        <v>0.50741078870223766</v>
      </c>
      <c r="Y25" s="205">
        <f t="shared" si="10"/>
        <v>18.034554543578125</v>
      </c>
      <c r="Z25" s="205">
        <f t="shared" si="11"/>
        <v>262.223008647494</v>
      </c>
      <c r="AA25" s="216">
        <f t="shared" si="12"/>
        <v>3408.8991124174217</v>
      </c>
    </row>
    <row r="26" spans="1:27" x14ac:dyDescent="0.35">
      <c r="A26" s="215">
        <v>15</v>
      </c>
      <c r="B26" s="205">
        <f t="shared" si="2"/>
        <v>9.5</v>
      </c>
      <c r="C26" s="205">
        <f t="shared" si="0"/>
        <v>10.183242521493309</v>
      </c>
      <c r="D26" s="200">
        <f t="shared" si="3"/>
        <v>10.87</v>
      </c>
      <c r="E26" s="205">
        <f>'Curvas de Bojean'!C77*(B26/$B$5)^4+'Curvas de Bojean'!D77*(B26/$B$5)^3+'Curvas de Bojean'!E77*(B26/$B$5)^2+'Curvas de Bojean'!F77*(B26/$B$5)</f>
        <v>0.65446868766614263</v>
      </c>
      <c r="F26" s="205">
        <f>'Curvas de Bojean'!$C77*(C26/$B$5)^4+'Curvas de Bojean'!$D77*(C26/$B$5)^3+'Curvas de Bojean'!$E77*(C26/$B$5)^2+'Curvas de Bojean'!$F77*(C26/$B$5)</f>
        <v>0.70355469285979266</v>
      </c>
      <c r="G26" s="205">
        <f>'Curvas de Bojean'!$C77*(D26/$B$5)^4+'Curvas de Bojean'!$D77*(D26/$B$5)^3+'Curvas de Bojean'!$E77*(D26/$B$5)^2+'Curvas de Bojean'!$F77*(D26/$B$5)</f>
        <v>0.75293400583586467</v>
      </c>
      <c r="H26" s="200">
        <f t="shared" si="4"/>
        <v>231.82301039700303</v>
      </c>
      <c r="I26" s="200">
        <f t="shared" si="1"/>
        <v>249.21003854182339</v>
      </c>
      <c r="J26" s="200">
        <f t="shared" si="1"/>
        <v>266.70096087497598</v>
      </c>
      <c r="K26" s="216">
        <v>8</v>
      </c>
      <c r="P26" s="215">
        <v>14</v>
      </c>
      <c r="Q26" s="205">
        <v>14</v>
      </c>
      <c r="R26" s="205">
        <f t="shared" si="5"/>
        <v>240.73124056312571</v>
      </c>
      <c r="S26" s="205">
        <f t="shared" si="13"/>
        <v>3370.2373678837598</v>
      </c>
      <c r="T26" s="205">
        <f t="shared" si="6"/>
        <v>276.12292453310118</v>
      </c>
      <c r="U26" s="205">
        <f t="shared" si="7"/>
        <v>35.391683969975475</v>
      </c>
      <c r="V26" s="205">
        <f t="shared" si="14"/>
        <v>495.48357557965664</v>
      </c>
      <c r="W26" s="205">
        <f t="shared" si="8"/>
        <v>6936.770058115193</v>
      </c>
      <c r="X26" s="205">
        <f t="shared" si="9"/>
        <v>0.5030639788377278</v>
      </c>
      <c r="Y26" s="205">
        <f t="shared" si="10"/>
        <v>17.804281355703292</v>
      </c>
      <c r="Z26" s="205">
        <f t="shared" si="11"/>
        <v>258.53552191882898</v>
      </c>
      <c r="AA26" s="216">
        <f t="shared" si="12"/>
        <v>3619.4973068636054</v>
      </c>
    </row>
    <row r="27" spans="1:27" x14ac:dyDescent="0.35">
      <c r="A27" s="215">
        <v>16</v>
      </c>
      <c r="B27" s="205">
        <f t="shared" si="2"/>
        <v>9.5</v>
      </c>
      <c r="C27" s="205">
        <f t="shared" si="0"/>
        <v>10.177287391978931</v>
      </c>
      <c r="D27" s="200">
        <f t="shared" si="3"/>
        <v>10.87</v>
      </c>
      <c r="E27" s="205">
        <f>'Curvas de Bojean'!C78*(B27/$B$5)^4+'Curvas de Bojean'!D78*(B27/$B$5)^3+'Curvas de Bojean'!E78*(B27/$B$5)^2+'Curvas de Bojean'!F78*(B27/$B$5)</f>
        <v>0.59817019181125075</v>
      </c>
      <c r="F27" s="205">
        <f>'Curvas de Bojean'!$C78*(C27/$B$5)^4+'Curvas de Bojean'!$D78*(C27/$B$5)^3+'Curvas de Bojean'!$E78*(C27/$B$5)^2+'Curvas de Bojean'!$F78*(C27/$B$5)</f>
        <v>0.64414172838332251</v>
      </c>
      <c r="G27" s="205">
        <f>'Curvas de Bojean'!$C78*(D27/$B$5)^4+'Curvas de Bojean'!$D78*(D27/$B$5)^3+'Curvas de Bojean'!$E78*(D27/$B$5)^2+'Curvas de Bojean'!$F78*(D27/$B$5)</f>
        <v>0.69130142602792422</v>
      </c>
      <c r="H27" s="200">
        <f t="shared" si="4"/>
        <v>211.88120563863399</v>
      </c>
      <c r="I27" s="200">
        <f t="shared" si="4"/>
        <v>228.16504045236317</v>
      </c>
      <c r="J27" s="200">
        <f t="shared" si="4"/>
        <v>244.86974043788945</v>
      </c>
      <c r="K27" s="216">
        <v>8</v>
      </c>
      <c r="N27" s="229"/>
      <c r="P27" s="215">
        <v>15</v>
      </c>
      <c r="Q27" s="205">
        <v>15</v>
      </c>
      <c r="R27" s="205">
        <f t="shared" si="5"/>
        <v>231.82301039700303</v>
      </c>
      <c r="S27" s="205">
        <f t="shared" si="13"/>
        <v>3477.3451559550454</v>
      </c>
      <c r="T27" s="205">
        <f t="shared" si="6"/>
        <v>266.70096087497598</v>
      </c>
      <c r="U27" s="205">
        <f t="shared" si="7"/>
        <v>34.877950477972945</v>
      </c>
      <c r="V27" s="205">
        <f t="shared" si="14"/>
        <v>523.16925716959418</v>
      </c>
      <c r="W27" s="205">
        <f t="shared" si="8"/>
        <v>7847.5388575439129</v>
      </c>
      <c r="X27" s="205">
        <f t="shared" si="9"/>
        <v>0.49871716897321794</v>
      </c>
      <c r="Y27" s="205">
        <f t="shared" si="10"/>
        <v>17.394232721962762</v>
      </c>
      <c r="Z27" s="205">
        <f t="shared" si="11"/>
        <v>249.2172431189658</v>
      </c>
      <c r="AA27" s="216">
        <f t="shared" si="12"/>
        <v>3738.2586467844872</v>
      </c>
    </row>
    <row r="28" spans="1:27" x14ac:dyDescent="0.35">
      <c r="A28" s="215">
        <v>17</v>
      </c>
      <c r="B28" s="205">
        <f t="shared" si="2"/>
        <v>9.5</v>
      </c>
      <c r="C28" s="205">
        <f t="shared" si="0"/>
        <v>10.171332262464551</v>
      </c>
      <c r="D28" s="200">
        <f t="shared" si="3"/>
        <v>10.87</v>
      </c>
      <c r="E28" s="205">
        <f>'Curvas de Bojean'!C79*(B28/$B$5)^4+'Curvas de Bojean'!D79*(B28/$B$5)^3+'Curvas de Bojean'!E79*(B28/$B$5)^2+'Curvas de Bojean'!F79*(B28/$B$5)</f>
        <v>0.50252586180601755</v>
      </c>
      <c r="F28" s="205">
        <f>'Curvas de Bojean'!$C79*(C28/$B$5)^4+'Curvas de Bojean'!$D79*(C28/$B$5)^3+'Curvas de Bojean'!$E79*(C28/$B$5)^2+'Curvas de Bojean'!$F79*(C28/$B$5)</f>
        <v>0.54229374163303823</v>
      </c>
      <c r="G28" s="205">
        <f>'Curvas de Bojean'!$C79*(D28/$B$5)^4+'Curvas de Bojean'!$D79*(D28/$B$5)^3+'Curvas de Bojean'!$E79*(D28/$B$5)^2+'Curvas de Bojean'!$F79*(D28/$B$5)</f>
        <v>0.583947611095473</v>
      </c>
      <c r="H28" s="200">
        <f t="shared" si="4"/>
        <v>178.00249313936123</v>
      </c>
      <c r="I28" s="200">
        <f t="shared" si="4"/>
        <v>192.08889603738504</v>
      </c>
      <c r="J28" s="200">
        <f t="shared" si="4"/>
        <v>206.84334586125698</v>
      </c>
      <c r="K28" s="216">
        <v>8</v>
      </c>
      <c r="P28" s="215">
        <v>16</v>
      </c>
      <c r="Q28" s="205">
        <v>16</v>
      </c>
      <c r="R28" s="205">
        <f t="shared" si="5"/>
        <v>211.88120563863399</v>
      </c>
      <c r="S28" s="205">
        <f t="shared" si="13"/>
        <v>3390.0992902181438</v>
      </c>
      <c r="T28" s="205">
        <f t="shared" si="6"/>
        <v>244.86974043788945</v>
      </c>
      <c r="U28" s="205">
        <f t="shared" si="7"/>
        <v>32.988534799255461</v>
      </c>
      <c r="V28" s="205">
        <f t="shared" si="14"/>
        <v>527.81655678808738</v>
      </c>
      <c r="W28" s="205">
        <f t="shared" si="8"/>
        <v>8445.0649086093981</v>
      </c>
      <c r="X28" s="205">
        <f t="shared" si="9"/>
        <v>0.49437035910870808</v>
      </c>
      <c r="Y28" s="205">
        <f t="shared" si="10"/>
        <v>16.308553795178035</v>
      </c>
      <c r="Z28" s="205">
        <f t="shared" si="11"/>
        <v>228.18975943381201</v>
      </c>
      <c r="AA28" s="216">
        <f t="shared" si="12"/>
        <v>3651.0361509409922</v>
      </c>
    </row>
    <row r="29" spans="1:27" x14ac:dyDescent="0.35">
      <c r="A29" s="215">
        <v>18</v>
      </c>
      <c r="B29" s="205">
        <f t="shared" si="2"/>
        <v>9.5</v>
      </c>
      <c r="C29" s="205">
        <f t="shared" si="0"/>
        <v>10.165377132950173</v>
      </c>
      <c r="D29" s="200">
        <f t="shared" si="3"/>
        <v>10.87</v>
      </c>
      <c r="E29" s="205">
        <f>'Curvas de Bojean'!C80*(B29/$B$5)^4+'Curvas de Bojean'!D80*(B29/$B$5)^3+'Curvas de Bojean'!E80*(B29/$B$5)^2+'Curvas de Bojean'!F80*(B29/$B$5)</f>
        <v>0.37242305241642509</v>
      </c>
      <c r="F29" s="205">
        <f>'Curvas de Bojean'!$C80*(C29/$B$5)^4+'Curvas de Bojean'!$D80*(C29/$B$5)^3+'Curvas de Bojean'!$E80*(C29/$B$5)^2+'Curvas de Bojean'!$F80*(C29/$B$5)</f>
        <v>0.40210536829779087</v>
      </c>
      <c r="G29" s="205">
        <f>'Curvas de Bojean'!$C80*(D29/$B$5)^4+'Curvas de Bojean'!$D80*(D29/$B$5)^3+'Curvas de Bojean'!$E80*(D29/$B$5)^2+'Curvas de Bojean'!$F80*(D29/$B$5)</f>
        <v>0.43384154599202152</v>
      </c>
      <c r="H29" s="200">
        <f t="shared" si="4"/>
        <v>131.91805013666036</v>
      </c>
      <c r="I29" s="200">
        <f t="shared" si="4"/>
        <v>142.43198908110554</v>
      </c>
      <c r="J29" s="200">
        <f t="shared" si="4"/>
        <v>153.67343789328129</v>
      </c>
      <c r="K29" s="216">
        <v>8</v>
      </c>
      <c r="P29" s="215">
        <v>17</v>
      </c>
      <c r="Q29" s="205">
        <v>17</v>
      </c>
      <c r="R29" s="205">
        <f t="shared" si="5"/>
        <v>178.00249313936123</v>
      </c>
      <c r="S29" s="205">
        <f t="shared" si="13"/>
        <v>3026.0423833691411</v>
      </c>
      <c r="T29" s="205">
        <f t="shared" si="6"/>
        <v>206.84334586125698</v>
      </c>
      <c r="U29" s="205">
        <f t="shared" si="7"/>
        <v>28.840852721895743</v>
      </c>
      <c r="V29" s="205">
        <f t="shared" si="14"/>
        <v>490.29449627222766</v>
      </c>
      <c r="W29" s="205">
        <f t="shared" si="8"/>
        <v>8335.0064366278712</v>
      </c>
      <c r="X29" s="205">
        <f t="shared" si="9"/>
        <v>0.49002354924419822</v>
      </c>
      <c r="Y29" s="205">
        <f t="shared" si="10"/>
        <v>14.132697014012546</v>
      </c>
      <c r="Z29" s="205">
        <f t="shared" si="11"/>
        <v>192.13519015337377</v>
      </c>
      <c r="AA29" s="216">
        <f t="shared" si="12"/>
        <v>3266.2982326073543</v>
      </c>
    </row>
    <row r="30" spans="1:27" x14ac:dyDescent="0.35">
      <c r="A30" s="215">
        <v>19</v>
      </c>
      <c r="B30" s="205">
        <f t="shared" si="2"/>
        <v>9.5</v>
      </c>
      <c r="C30" s="205">
        <f t="shared" si="0"/>
        <v>10.159422003435795</v>
      </c>
      <c r="D30" s="200">
        <f t="shared" si="3"/>
        <v>10.87</v>
      </c>
      <c r="E30" s="205">
        <f>'Curvas de Bojean'!C81*(B30/$B$5)^4+'Curvas de Bojean'!D81*(B30/$B$5)^3+'Curvas de Bojean'!E81*(B30/$B$5)^2+'Curvas de Bojean'!F81*(B30/$B$5)</f>
        <v>0.19721569213375023</v>
      </c>
      <c r="F30" s="205">
        <f>'Curvas de Bojean'!$C81*(C30/$B$5)^4+'Curvas de Bojean'!$D81*(C30/$B$5)^3+'Curvas de Bojean'!$E81*(C30/$B$5)^2+'Curvas de Bojean'!$F81*(C30/$B$5)</f>
        <v>0.21309975442216569</v>
      </c>
      <c r="G30" s="205">
        <f>'Curvas de Bojean'!$C81*(D30/$B$5)^4+'Curvas de Bojean'!$D81*(D30/$B$5)^3+'Curvas de Bojean'!$E81*(D30/$B$5)^2+'Curvas de Bojean'!$F81*(D30/$B$5)</f>
        <v>0.23052538849995355</v>
      </c>
      <c r="H30" s="200">
        <f t="shared" si="4"/>
        <v>69.856872161463528</v>
      </c>
      <c r="I30" s="200">
        <f t="shared" si="4"/>
        <v>75.483254609438475</v>
      </c>
      <c r="J30" s="200">
        <f t="shared" si="4"/>
        <v>81.655685813740945</v>
      </c>
      <c r="K30" s="216">
        <v>8</v>
      </c>
      <c r="P30" s="215">
        <v>18</v>
      </c>
      <c r="Q30" s="205">
        <v>18</v>
      </c>
      <c r="R30" s="205">
        <f t="shared" si="5"/>
        <v>131.91805013666036</v>
      </c>
      <c r="S30" s="205">
        <f t="shared" si="13"/>
        <v>2374.5249024598866</v>
      </c>
      <c r="T30" s="205">
        <f t="shared" si="6"/>
        <v>153.67343789328129</v>
      </c>
      <c r="U30" s="205">
        <f t="shared" si="7"/>
        <v>21.755387756620934</v>
      </c>
      <c r="V30" s="205">
        <f t="shared" si="14"/>
        <v>391.59697961917681</v>
      </c>
      <c r="W30" s="205">
        <f t="shared" si="8"/>
        <v>7048.7456331451822</v>
      </c>
      <c r="X30" s="205">
        <f t="shared" si="9"/>
        <v>0.4856767393796883</v>
      </c>
      <c r="Y30" s="205">
        <f t="shared" si="10"/>
        <v>10.566085789576446</v>
      </c>
      <c r="Z30" s="205">
        <f t="shared" si="11"/>
        <v>142.4841359262368</v>
      </c>
      <c r="AA30" s="216">
        <f t="shared" si="12"/>
        <v>2564.7144466722625</v>
      </c>
    </row>
    <row r="31" spans="1:27" ht="15" thickBot="1" x14ac:dyDescent="0.4">
      <c r="A31" s="225">
        <v>20</v>
      </c>
      <c r="B31" s="205">
        <f t="shared" si="2"/>
        <v>9.5</v>
      </c>
      <c r="C31" s="226">
        <f t="shared" si="0"/>
        <v>10.153466873921415</v>
      </c>
      <c r="D31" s="200">
        <f t="shared" si="3"/>
        <v>10.87</v>
      </c>
      <c r="E31" s="205">
        <f>'Curvas de Bojean'!C82*(B31/$B$5)^4+'Curvas de Bojean'!D82*(B31/$B$5)^3+'Curvas de Bojean'!E82*(B31/$B$5)^2+'Curvas de Bojean'!F82*(B31/$B$5)</f>
        <v>-2.1902969349307799E-4</v>
      </c>
      <c r="F31" s="205">
        <f>'Curvas de Bojean'!$C82*(C31/$B$5)^4+'Curvas de Bojean'!$D82*(C31/$B$5)^3+'Curvas de Bojean'!$E82*(C31/$B$5)^2+'Curvas de Bojean'!$F82*(C31/$B$5)</f>
        <v>5.1984060348965119E-5</v>
      </c>
      <c r="G31" s="205">
        <f>'Curvas de Bojean'!$C82*(D31/$B$5)^4+'Curvas de Bojean'!$D82*(D31/$B$5)^3+'Curvas de Bojean'!$E82*(D31/$B$5)^2+'Curvas de Bojean'!$F82*(D31/$B$5)</f>
        <v>6.2043084482448288E-4</v>
      </c>
      <c r="H31" s="200">
        <f t="shared" si="4"/>
        <v>-7.7583731458517241E-2</v>
      </c>
      <c r="I31" s="200">
        <f t="shared" si="4"/>
        <v>1.8413564452917079E-2</v>
      </c>
      <c r="J31" s="200">
        <f t="shared" si="4"/>
        <v>0.21976627591347511</v>
      </c>
      <c r="K31" s="216">
        <v>8</v>
      </c>
      <c r="P31" s="215">
        <v>19</v>
      </c>
      <c r="Q31" s="205">
        <v>19</v>
      </c>
      <c r="R31" s="205">
        <f t="shared" si="5"/>
        <v>69.856872161463528</v>
      </c>
      <c r="S31" s="205">
        <f t="shared" si="13"/>
        <v>1327.2805710678069</v>
      </c>
      <c r="T31" s="205">
        <f t="shared" si="6"/>
        <v>81.655685813740945</v>
      </c>
      <c r="U31" s="205">
        <f t="shared" si="7"/>
        <v>11.798813652277417</v>
      </c>
      <c r="V31" s="205">
        <f t="shared" si="14"/>
        <v>224.17745939327091</v>
      </c>
      <c r="W31" s="205">
        <f t="shared" si="8"/>
        <v>4259.371728472147</v>
      </c>
      <c r="X31" s="205">
        <f t="shared" si="9"/>
        <v>0.48132992951517845</v>
      </c>
      <c r="Y31" s="205">
        <f t="shared" si="10"/>
        <v>5.6791221436134141</v>
      </c>
      <c r="Z31" s="205">
        <f t="shared" si="11"/>
        <v>75.53599430507694</v>
      </c>
      <c r="AA31" s="216">
        <f t="shared" si="12"/>
        <v>1435.1838917964619</v>
      </c>
    </row>
    <row r="32" spans="1:27" ht="15" thickBot="1" x14ac:dyDescent="0.4">
      <c r="K32" s="216">
        <v>8</v>
      </c>
      <c r="P32" s="225">
        <v>20</v>
      </c>
      <c r="Q32" s="226">
        <v>20</v>
      </c>
      <c r="R32" s="226">
        <f t="shared" si="5"/>
        <v>-7.7583731458517241E-2</v>
      </c>
      <c r="S32" s="226">
        <f>R32*Q32</f>
        <v>-1.5516746291703449</v>
      </c>
      <c r="T32" s="226">
        <f t="shared" si="6"/>
        <v>0.21976627591347511</v>
      </c>
      <c r="U32" s="226">
        <f>T32-R32</f>
        <v>0.29735000737199235</v>
      </c>
      <c r="V32" s="226">
        <f>U32*Q32</f>
        <v>5.9470001474398471</v>
      </c>
      <c r="W32" s="226">
        <f>V32*Q32</f>
        <v>118.94000294879694</v>
      </c>
      <c r="X32" s="226">
        <f t="shared" si="9"/>
        <v>0.47698311965066853</v>
      </c>
      <c r="Y32" s="226">
        <f>U32*X32</f>
        <v>0.1418309341444422</v>
      </c>
      <c r="Z32" s="226">
        <f>R32+Y32</f>
        <v>6.4247202685924959E-2</v>
      </c>
      <c r="AA32" s="228">
        <f>Z32*Q32</f>
        <v>1.2849440537184993</v>
      </c>
    </row>
    <row r="33" spans="13:25" x14ac:dyDescent="0.35">
      <c r="M33" s="9"/>
    </row>
    <row r="34" spans="13:25" x14ac:dyDescent="0.35">
      <c r="M34" s="9"/>
    </row>
    <row r="35" spans="13:25" x14ac:dyDescent="0.35"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44" spans="13:25" x14ac:dyDescent="0.35">
      <c r="M44" s="9"/>
    </row>
    <row r="45" spans="13:25" x14ac:dyDescent="0.35">
      <c r="M45" s="9"/>
    </row>
    <row r="46" spans="13:25" x14ac:dyDescent="0.35">
      <c r="M46" s="9"/>
    </row>
    <row r="47" spans="13:25" x14ac:dyDescent="0.35">
      <c r="M47" s="9"/>
      <c r="N47" s="9"/>
      <c r="O47" s="9"/>
    </row>
  </sheetData>
  <mergeCells count="1">
    <mergeCell ref="A1:E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E46-51C1-44A4-BD18-03695B5ECEFD}">
  <dimension ref="A1:AC34"/>
  <sheetViews>
    <sheetView topLeftCell="A21" zoomScale="70" zoomScaleNormal="70" workbookViewId="0">
      <selection activeCell="P25" sqref="P25"/>
    </sheetView>
  </sheetViews>
  <sheetFormatPr defaultRowHeight="14.5" x14ac:dyDescent="0.35"/>
  <cols>
    <col min="2" max="2" width="21.54296875" bestFit="1" customWidth="1"/>
    <col min="3" max="3" width="16.1796875" bestFit="1" customWidth="1"/>
    <col min="4" max="4" width="10.26953125" bestFit="1" customWidth="1"/>
    <col min="11" max="11" width="17.453125" bestFit="1" customWidth="1"/>
    <col min="16" max="16" width="12.7265625" bestFit="1" customWidth="1"/>
  </cols>
  <sheetData>
    <row r="1" spans="1:29" x14ac:dyDescent="0.35">
      <c r="A1" s="380" t="s">
        <v>519</v>
      </c>
      <c r="B1" s="380"/>
      <c r="C1" s="380"/>
      <c r="D1" s="380"/>
      <c r="E1" s="380"/>
    </row>
    <row r="4" spans="1:29" x14ac:dyDescent="0.35">
      <c r="A4" s="204" t="s">
        <v>6</v>
      </c>
      <c r="B4" s="200">
        <f>Prelude!F2</f>
        <v>9.9</v>
      </c>
      <c r="D4" s="204" t="s">
        <v>490</v>
      </c>
      <c r="E4" s="205">
        <v>9</v>
      </c>
      <c r="G4" s="204" t="s">
        <v>9</v>
      </c>
      <c r="H4">
        <v>1.2810079285813027</v>
      </c>
    </row>
    <row r="5" spans="1:29" x14ac:dyDescent="0.35">
      <c r="A5" s="204" t="s">
        <v>5</v>
      </c>
      <c r="B5" s="200">
        <f>Prelude!E2</f>
        <v>13.7</v>
      </c>
      <c r="D5" s="204" t="s">
        <v>491</v>
      </c>
      <c r="E5" s="200">
        <f>E4+H6</f>
        <v>11</v>
      </c>
      <c r="G5" s="204" t="s">
        <v>10</v>
      </c>
      <c r="H5">
        <v>3.4575915407416745E-2</v>
      </c>
    </row>
    <row r="6" spans="1:29" x14ac:dyDescent="0.35">
      <c r="A6" s="204" t="s">
        <v>4</v>
      </c>
      <c r="B6" s="200">
        <f>Prelude!C2</f>
        <v>187</v>
      </c>
      <c r="D6" s="204" t="s">
        <v>492</v>
      </c>
      <c r="E6" s="205">
        <f>B6/20</f>
        <v>9.35</v>
      </c>
      <c r="G6" s="204" t="s">
        <v>493</v>
      </c>
      <c r="H6" s="239">
        <v>2</v>
      </c>
    </row>
    <row r="7" spans="1:29" x14ac:dyDescent="0.35">
      <c r="J7" s="1" t="s">
        <v>522</v>
      </c>
      <c r="K7" s="1">
        <f>'Curvas de Bojean'!K17*2</f>
        <v>354.2155870339522</v>
      </c>
    </row>
    <row r="9" spans="1:29" ht="15" thickBot="1" x14ac:dyDescent="0.4"/>
    <row r="10" spans="1:29" x14ac:dyDescent="0.35">
      <c r="A10" s="207" t="s">
        <v>58</v>
      </c>
      <c r="B10" s="208" t="s">
        <v>520</v>
      </c>
      <c r="C10" s="208" t="s">
        <v>521</v>
      </c>
      <c r="D10" s="208" t="s">
        <v>494</v>
      </c>
      <c r="E10" s="208" t="s">
        <v>495</v>
      </c>
      <c r="F10" s="208" t="s">
        <v>496</v>
      </c>
      <c r="G10" s="208" t="s">
        <v>497</v>
      </c>
      <c r="H10" s="208" t="s">
        <v>498</v>
      </c>
      <c r="I10" s="208" t="s">
        <v>499</v>
      </c>
      <c r="J10" s="208" t="s">
        <v>500</v>
      </c>
      <c r="K10" s="208" t="s">
        <v>501</v>
      </c>
      <c r="L10" s="208" t="s">
        <v>502</v>
      </c>
      <c r="M10" s="210" t="s">
        <v>503</v>
      </c>
      <c r="R10" s="211" t="s">
        <v>58</v>
      </c>
      <c r="S10" s="212" t="s">
        <v>94</v>
      </c>
      <c r="T10" s="213" t="s">
        <v>504</v>
      </c>
      <c r="U10" s="208" t="s">
        <v>505</v>
      </c>
      <c r="V10" s="213" t="s">
        <v>506</v>
      </c>
      <c r="W10" s="213" t="s">
        <v>507</v>
      </c>
      <c r="X10" s="213" t="s">
        <v>508</v>
      </c>
      <c r="Y10" s="213" t="s">
        <v>509</v>
      </c>
      <c r="Z10" s="213" t="s">
        <v>510</v>
      </c>
      <c r="AA10" s="213" t="s">
        <v>511</v>
      </c>
      <c r="AB10" s="213" t="s">
        <v>512</v>
      </c>
      <c r="AC10" s="214" t="s">
        <v>513</v>
      </c>
    </row>
    <row r="11" spans="1:29" x14ac:dyDescent="0.35">
      <c r="A11" s="215">
        <v>0</v>
      </c>
      <c r="B11" s="200">
        <v>1</v>
      </c>
      <c r="C11" s="205">
        <f>B11</f>
        <v>1</v>
      </c>
      <c r="D11" s="205">
        <f>$E$4+C11</f>
        <v>10</v>
      </c>
      <c r="E11" s="205">
        <f>(D11)+($H$4)+(($H$5)*((S12*$E$6)/($B$6)))</f>
        <v>11.281007928581303</v>
      </c>
      <c r="F11" s="200">
        <f>$E$5+C11</f>
        <v>12</v>
      </c>
      <c r="G11" s="200">
        <f>'Curvas de Bojean'!C62*(D11/$B$5)^4+'Curvas de Bojean'!D62*(D11/$B$5)^3+'Curvas de Bojean'!E62*(D11/$B$5)^2+'Curvas de Bojean'!F62*(D11/$B$5)</f>
        <v>9.4304176930640575E-3</v>
      </c>
      <c r="H11" s="200">
        <f>'Curvas de Bojean'!$C62*(E11/$B$5)^4+'Curvas de Bojean'!$D62*(E11/$B$5)^3+'Curvas de Bojean'!$E62*(E11/$B$5)^2+'Curvas de Bojean'!$F62*(E11/$B$5)</f>
        <v>2.2056298776271469E-2</v>
      </c>
      <c r="I11" s="200">
        <f>'Curvas de Bojean'!$C62*(F11/$B$5)^4+'Curvas de Bojean'!$D62*(F11/$B$5)^3+'Curvas de Bojean'!$E62*(F11/$B$5)^2+'Curvas de Bojean'!$F62*(F11/$B$5)</f>
        <v>3.2636964463953533E-2</v>
      </c>
      <c r="J11" s="200">
        <f>($K$7)*G11</f>
        <v>3.3404009391240543</v>
      </c>
      <c r="K11" s="200">
        <f t="shared" ref="K11:L26" si="0">($K$7)*H11</f>
        <v>7.8126848188332403</v>
      </c>
      <c r="L11" s="200">
        <f t="shared" si="0"/>
        <v>11.560521526605537</v>
      </c>
      <c r="M11" s="216">
        <v>8</v>
      </c>
      <c r="R11" s="217"/>
      <c r="S11" s="218"/>
      <c r="T11" s="203" t="s">
        <v>2</v>
      </c>
      <c r="U11" s="219"/>
      <c r="V11" s="203" t="s">
        <v>96</v>
      </c>
      <c r="W11" s="203" t="s">
        <v>97</v>
      </c>
      <c r="X11" s="203" t="s">
        <v>5</v>
      </c>
      <c r="Y11" s="219"/>
      <c r="Z11" s="203" t="s">
        <v>98</v>
      </c>
      <c r="AA11" s="203" t="s">
        <v>99</v>
      </c>
      <c r="AB11" s="203" t="s">
        <v>100</v>
      </c>
      <c r="AC11" s="220"/>
    </row>
    <row r="12" spans="1:29" x14ac:dyDescent="0.35">
      <c r="A12" s="215">
        <v>1</v>
      </c>
      <c r="B12" s="200">
        <v>0.96</v>
      </c>
      <c r="C12" s="205">
        <f t="shared" ref="C12:C31" si="1">B12</f>
        <v>0.96</v>
      </c>
      <c r="D12" s="205">
        <f t="shared" ref="D12:D31" si="2">$E$4+C12</f>
        <v>9.9600000000000009</v>
      </c>
      <c r="E12" s="205">
        <f t="shared" ref="E12:E31" si="3">(D12)+($H$4)+(($H$5)*((S13*$E$6)/($B$6)))</f>
        <v>11.242736724351674</v>
      </c>
      <c r="F12" s="200">
        <f t="shared" ref="F12:F31" si="4">$E$5+C12</f>
        <v>11.96</v>
      </c>
      <c r="G12" s="200">
        <f>'Curvas de Bojean'!C63*(D12/$B$5)^4+'Curvas de Bojean'!D63*(D12/$B$5)^3+'Curvas de Bojean'!E63*(D12/$B$5)^2+'Curvas de Bojean'!F63*(D12/$B$5)</f>
        <v>0.11419472555475227</v>
      </c>
      <c r="H12" s="200">
        <f>'Curvas de Bojean'!$C63*(E12/$B$5)^4+'Curvas de Bojean'!$D63*(E12/$B$5)^3+'Curvas de Bojean'!$E63*(E12/$B$5)^2+'Curvas de Bojean'!$F63*(E12/$B$5)</f>
        <v>0.15273132875512685</v>
      </c>
      <c r="I12" s="200">
        <f>'Curvas de Bojean'!$C63*(F12/$B$5)^4+'Curvas de Bojean'!$D63*(F12/$B$5)^3+'Curvas de Bojean'!$E63*(F12/$B$5)^2+'Curvas de Bojean'!$F63*(F12/$B$5)</f>
        <v>0.17881619846999622</v>
      </c>
      <c r="J12" s="200">
        <f t="shared" ref="J12:L31" si="5">($K$7)*G12</f>
        <v>40.449551748557639</v>
      </c>
      <c r="K12" s="200">
        <f t="shared" si="0"/>
        <v>54.099817273472802</v>
      </c>
      <c r="L12" s="200">
        <f t="shared" si="0"/>
        <v>63.339484712229414</v>
      </c>
      <c r="M12" s="216">
        <v>8</v>
      </c>
      <c r="R12" s="215">
        <v>0</v>
      </c>
      <c r="S12" s="205">
        <v>0</v>
      </c>
      <c r="T12" s="200">
        <f>J11</f>
        <v>3.3404009391240543</v>
      </c>
      <c r="U12" s="205">
        <f>T12*S12</f>
        <v>0</v>
      </c>
      <c r="V12" s="200">
        <f>L11</f>
        <v>11.560521526605537</v>
      </c>
      <c r="W12" s="200">
        <f>V12-T12</f>
        <v>8.2201205874814836</v>
      </c>
      <c r="X12" s="205">
        <f>W12*S12</f>
        <v>0</v>
      </c>
      <c r="Y12" s="205">
        <f>X12*S12</f>
        <v>0</v>
      </c>
      <c r="Z12" s="205">
        <f>($H$4/$H$6)+($H$5/$H$6)*(S12/20)</f>
        <v>0.64050396429065137</v>
      </c>
      <c r="AA12" s="205">
        <f>W12*Z12</f>
        <v>5.2650198232290881</v>
      </c>
      <c r="AB12" s="205">
        <f>T12+AA12</f>
        <v>8.6054207623531429</v>
      </c>
      <c r="AC12" s="216">
        <f>AB12*S12</f>
        <v>0</v>
      </c>
    </row>
    <row r="13" spans="1:29" x14ac:dyDescent="0.35">
      <c r="A13" s="215">
        <v>2</v>
      </c>
      <c r="B13" s="200">
        <v>0.85</v>
      </c>
      <c r="C13" s="205">
        <f t="shared" si="1"/>
        <v>0.85</v>
      </c>
      <c r="D13" s="205">
        <f t="shared" si="2"/>
        <v>9.85</v>
      </c>
      <c r="E13" s="205">
        <f t="shared" si="3"/>
        <v>11.134465520122044</v>
      </c>
      <c r="F13" s="200">
        <f t="shared" si="4"/>
        <v>11.85</v>
      </c>
      <c r="G13" s="200">
        <f>'Curvas de Bojean'!C64*(D13/$B$5)^4+'Curvas de Bojean'!D64*(D13/$B$5)^3+'Curvas de Bojean'!E64*(D13/$B$5)^2+'Curvas de Bojean'!F64*(D13/$B$5)</f>
        <v>0.26100322610843252</v>
      </c>
      <c r="H13" s="200">
        <f>'Curvas de Bojean'!$C64*(E13/$B$5)^4+'Curvas de Bojean'!$D64*(E13/$B$5)^3+'Curvas de Bojean'!$E64*(E13/$B$5)^2+'Curvas de Bojean'!$F64*(E13/$B$5)</f>
        <v>0.32218226947499468</v>
      </c>
      <c r="I13" s="200">
        <f>'Curvas de Bojean'!$C64*(F13/$B$5)^4+'Curvas de Bojean'!$D64*(F13/$B$5)^3+'Curvas de Bojean'!$E64*(F13/$B$5)^2+'Curvas de Bojean'!$F64*(F13/$B$5)</f>
        <v>0.35972071314229415</v>
      </c>
      <c r="J13" s="200">
        <f t="shared" si="5"/>
        <v>92.451410953753779</v>
      </c>
      <c r="K13" s="200">
        <f t="shared" si="0"/>
        <v>114.12198171401621</v>
      </c>
      <c r="L13" s="200">
        <f t="shared" si="0"/>
        <v>127.41868357396964</v>
      </c>
      <c r="M13" s="216">
        <v>8</v>
      </c>
      <c r="O13" s="204" t="s">
        <v>488</v>
      </c>
      <c r="P13" s="200">
        <f>1.025*E6*(SUM(AB13:AB31)+AB12/2+AB32/2)</f>
        <v>38070.465529139976</v>
      </c>
      <c r="R13" s="215">
        <v>1</v>
      </c>
      <c r="S13" s="205">
        <v>1</v>
      </c>
      <c r="T13" s="200">
        <f t="shared" ref="T13:T32" si="6">J12</f>
        <v>40.449551748557639</v>
      </c>
      <c r="U13" s="205">
        <f>T13*S13</f>
        <v>40.449551748557639</v>
      </c>
      <c r="V13" s="200">
        <f t="shared" ref="V13:V32" si="7">L12</f>
        <v>63.339484712229414</v>
      </c>
      <c r="W13" s="205">
        <f t="shared" ref="W13:W31" si="8">V13-T13</f>
        <v>22.889932963671775</v>
      </c>
      <c r="X13" s="205">
        <f>W13*S13</f>
        <v>22.889932963671775</v>
      </c>
      <c r="Y13" s="205">
        <f t="shared" ref="Y13:Y31" si="9">X13*S13</f>
        <v>22.889932963671775</v>
      </c>
      <c r="Z13" s="205">
        <f t="shared" ref="Z13:Z32" si="10">($H$4/$H$6)+($H$5/$H$6)*(S13/20)</f>
        <v>0.64136836217583681</v>
      </c>
      <c r="AA13" s="205">
        <f t="shared" ref="AA13:AA31" si="11">W13*Z13</f>
        <v>14.680878815224865</v>
      </c>
      <c r="AB13" s="205">
        <f t="shared" ref="AB13:AB31" si="12">T13+AA13</f>
        <v>55.130430563782504</v>
      </c>
      <c r="AC13" s="216">
        <f t="shared" ref="AC13:AC31" si="13">AB13*S13</f>
        <v>55.130430563782504</v>
      </c>
    </row>
    <row r="14" spans="1:29" x14ac:dyDescent="0.35">
      <c r="A14" s="215">
        <v>3</v>
      </c>
      <c r="B14" s="200">
        <v>0.68</v>
      </c>
      <c r="C14" s="205">
        <f t="shared" si="1"/>
        <v>0.68</v>
      </c>
      <c r="D14" s="205">
        <f t="shared" si="2"/>
        <v>9.68</v>
      </c>
      <c r="E14" s="205">
        <f t="shared" si="3"/>
        <v>10.966194315892416</v>
      </c>
      <c r="F14" s="200">
        <f t="shared" si="4"/>
        <v>11.68</v>
      </c>
      <c r="G14" s="200">
        <f>'Curvas de Bojean'!C65*(D14/$B$5)^4+'Curvas de Bojean'!D65*(D14/$B$5)^3+'Curvas de Bojean'!E65*(D14/$B$5)^2+'Curvas de Bojean'!F65*(D14/$B$5)</f>
        <v>0.39942763491467592</v>
      </c>
      <c r="H14" s="200">
        <f>'Curvas de Bojean'!$C65*(E14/$B$5)^4+'Curvas de Bojean'!$D65*(E14/$B$5)^3+'Curvas de Bojean'!$E65*(E14/$B$5)^2+'Curvas de Bojean'!$F65*(E14/$B$5)</f>
        <v>0.47691414688217515</v>
      </c>
      <c r="I14" s="200">
        <f>'Curvas de Bojean'!$C65*(F14/$B$5)^4+'Curvas de Bojean'!$D65*(F14/$B$5)^3+'Curvas de Bojean'!$E65*(F14/$B$5)^2+'Curvas de Bojean'!$F65*(F14/$B$5)</f>
        <v>0.52209724339576968</v>
      </c>
      <c r="J14" s="200">
        <f t="shared" si="5"/>
        <v>141.48349417888508</v>
      </c>
      <c r="K14" s="200">
        <f t="shared" si="0"/>
        <v>168.93042450266617</v>
      </c>
      <c r="L14" s="200">
        <f t="shared" si="0"/>
        <v>184.93498155824079</v>
      </c>
      <c r="M14" s="216">
        <v>8</v>
      </c>
      <c r="O14" s="204" t="s">
        <v>484</v>
      </c>
      <c r="P14" s="200">
        <f>'SW Buoyancy Ballast'!N14</f>
        <v>38070.465518607059</v>
      </c>
      <c r="R14" s="215">
        <v>2</v>
      </c>
      <c r="S14" s="205">
        <v>2</v>
      </c>
      <c r="T14" s="200">
        <f t="shared" si="6"/>
        <v>92.451410953753779</v>
      </c>
      <c r="U14" s="205">
        <f t="shared" ref="U14:U31" si="14">T14*S14</f>
        <v>184.90282190750756</v>
      </c>
      <c r="V14" s="200">
        <f t="shared" si="7"/>
        <v>127.41868357396964</v>
      </c>
      <c r="W14" s="205">
        <f t="shared" si="8"/>
        <v>34.967272620215866</v>
      </c>
      <c r="X14" s="205">
        <f t="shared" ref="X14:X31" si="15">W14*S14</f>
        <v>69.934545240431731</v>
      </c>
      <c r="Y14" s="205">
        <f t="shared" si="9"/>
        <v>139.86909048086346</v>
      </c>
      <c r="Z14" s="205">
        <f t="shared" si="10"/>
        <v>0.64223276006102226</v>
      </c>
      <c r="AA14" s="205">
        <f t="shared" si="11"/>
        <v>22.457128006687448</v>
      </c>
      <c r="AB14" s="205">
        <f t="shared" si="12"/>
        <v>114.90853896044123</v>
      </c>
      <c r="AC14" s="216">
        <f t="shared" si="13"/>
        <v>229.81707792088247</v>
      </c>
    </row>
    <row r="15" spans="1:29" x14ac:dyDescent="0.35">
      <c r="A15" s="215">
        <v>4</v>
      </c>
      <c r="B15" s="200">
        <v>0.44</v>
      </c>
      <c r="C15" s="205">
        <f>B15</f>
        <v>0.44</v>
      </c>
      <c r="D15" s="205">
        <f t="shared" si="2"/>
        <v>9.44</v>
      </c>
      <c r="E15" s="205">
        <f t="shared" si="3"/>
        <v>10.727923111662786</v>
      </c>
      <c r="F15" s="200">
        <f t="shared" si="4"/>
        <v>11.44</v>
      </c>
      <c r="G15" s="200">
        <f>'Curvas de Bojean'!C66*(D15/$B$5)^4+'Curvas de Bojean'!D66*(D15/$B$5)^3+'Curvas de Bojean'!E66*(D15/$B$5)^2+'Curvas de Bojean'!F66*(D15/$B$5)</f>
        <v>0.50909464538067484</v>
      </c>
      <c r="H15" s="200">
        <f>'Curvas de Bojean'!$C66*(E15/$B$5)^4+'Curvas de Bojean'!$D66*(E15/$B$5)^3+'Curvas de Bojean'!$E66*(E15/$B$5)^2+'Curvas de Bojean'!$F66*(E15/$B$5)</f>
        <v>0.59661666099378685</v>
      </c>
      <c r="I15" s="200">
        <f>'Curvas de Bojean'!$C66*(F15/$B$5)^4+'Curvas de Bojean'!$D66*(F15/$B$5)^3+'Curvas de Bojean'!$E66*(F15/$B$5)^2+'Curvas de Bojean'!$F66*(F15/$B$5)</f>
        <v>0.64612124475534649</v>
      </c>
      <c r="J15" s="200">
        <f t="shared" si="5"/>
        <v>180.32925866935747</v>
      </c>
      <c r="K15" s="200">
        <f t="shared" si="0"/>
        <v>211.33092080815067</v>
      </c>
      <c r="L15" s="200">
        <f t="shared" si="0"/>
        <v>228.86621600612298</v>
      </c>
      <c r="M15" s="216">
        <v>8</v>
      </c>
      <c r="O15" s="204" t="s">
        <v>95</v>
      </c>
      <c r="P15" s="200">
        <f>ABS(P13-P14)</f>
        <v>1.0532916348893195E-5</v>
      </c>
      <c r="R15" s="215">
        <v>3</v>
      </c>
      <c r="S15" s="205">
        <v>3</v>
      </c>
      <c r="T15" s="200">
        <f t="shared" si="6"/>
        <v>141.48349417888508</v>
      </c>
      <c r="U15" s="205">
        <f t="shared" si="14"/>
        <v>424.45048253665527</v>
      </c>
      <c r="V15" s="200">
        <f t="shared" si="7"/>
        <v>184.93498155824079</v>
      </c>
      <c r="W15" s="205">
        <f t="shared" si="8"/>
        <v>43.451487379355711</v>
      </c>
      <c r="X15" s="205">
        <f t="shared" si="15"/>
        <v>130.35446213806713</v>
      </c>
      <c r="Y15" s="205">
        <f t="shared" si="9"/>
        <v>391.06338641420143</v>
      </c>
      <c r="Z15" s="205">
        <f t="shared" si="10"/>
        <v>0.64309715794620759</v>
      </c>
      <c r="AA15" s="205">
        <f t="shared" si="11"/>
        <v>27.943528042199166</v>
      </c>
      <c r="AB15" s="205">
        <f>T15+AA15</f>
        <v>169.42702222108426</v>
      </c>
      <c r="AC15" s="216">
        <f t="shared" si="13"/>
        <v>508.28106666325277</v>
      </c>
    </row>
    <row r="16" spans="1:29" x14ac:dyDescent="0.35">
      <c r="A16" s="215">
        <v>5</v>
      </c>
      <c r="B16" s="200">
        <v>0.15</v>
      </c>
      <c r="C16" s="205">
        <f t="shared" si="1"/>
        <v>0.15</v>
      </c>
      <c r="D16" s="205">
        <f t="shared" si="2"/>
        <v>9.15</v>
      </c>
      <c r="E16" s="205">
        <f t="shared" si="3"/>
        <v>10.439651907433158</v>
      </c>
      <c r="F16" s="200">
        <f t="shared" si="4"/>
        <v>11.15</v>
      </c>
      <c r="G16" s="200">
        <f>'Curvas de Bojean'!C67*(D16/$B$5)^4+'Curvas de Bojean'!D67*(D16/$B$5)^3+'Curvas de Bojean'!E67*(D16/$B$5)^2+'Curvas de Bojean'!F67*(D16/$B$5)</f>
        <v>0.58016459284772803</v>
      </c>
      <c r="H16" s="200">
        <f>'Curvas de Bojean'!$C67*(E16/$B$5)^4+'Curvas de Bojean'!$D67*(E16/$B$5)^3+'Curvas de Bojean'!$E67*(E16/$B$5)^2+'Curvas de Bojean'!$F67*(E16/$B$5)</f>
        <v>0.67284016621399501</v>
      </c>
      <c r="I16" s="200">
        <f>'Curvas de Bojean'!$C67*(F16/$B$5)^4+'Curvas de Bojean'!$D67*(F16/$B$5)^3+'Curvas de Bojean'!$E67*(F16/$B$5)^2+'Curvas de Bojean'!$F67*(F16/$B$5)</f>
        <v>0.72427453017416354</v>
      </c>
      <c r="J16" s="200">
        <f t="shared" si="5"/>
        <v>205.50334183187186</v>
      </c>
      <c r="K16" s="200">
        <f t="shared" si="0"/>
        <v>238.33047445551222</v>
      </c>
      <c r="L16" s="200">
        <f t="shared" si="0"/>
        <v>256.54932787938128</v>
      </c>
      <c r="M16" s="216">
        <v>8</v>
      </c>
      <c r="O16" s="204" t="s">
        <v>514</v>
      </c>
      <c r="P16" s="223">
        <f>P15/P14</f>
        <v>2.7666896649175983E-10</v>
      </c>
      <c r="R16" s="215">
        <v>4</v>
      </c>
      <c r="S16" s="205">
        <v>4</v>
      </c>
      <c r="T16" s="200">
        <f t="shared" si="6"/>
        <v>180.32925866935747</v>
      </c>
      <c r="U16" s="205">
        <f t="shared" si="14"/>
        <v>721.31703467742989</v>
      </c>
      <c r="V16" s="200">
        <f t="shared" si="7"/>
        <v>228.86621600612298</v>
      </c>
      <c r="W16" s="205">
        <f t="shared" si="8"/>
        <v>48.536957336765511</v>
      </c>
      <c r="X16" s="205">
        <f t="shared" si="15"/>
        <v>194.14782934706204</v>
      </c>
      <c r="Y16" s="205">
        <f t="shared" si="9"/>
        <v>776.59131738824817</v>
      </c>
      <c r="Z16" s="205">
        <f t="shared" si="10"/>
        <v>0.64396155583139303</v>
      </c>
      <c r="AA16" s="205">
        <f t="shared" si="11"/>
        <v>31.255934561905466</v>
      </c>
      <c r="AB16" s="205">
        <f t="shared" si="12"/>
        <v>211.58519323126293</v>
      </c>
      <c r="AC16" s="216">
        <f t="shared" si="13"/>
        <v>846.34077292505174</v>
      </c>
    </row>
    <row r="17" spans="1:29" x14ac:dyDescent="0.35">
      <c r="A17" s="215">
        <v>6</v>
      </c>
      <c r="B17" s="200">
        <v>-0.16</v>
      </c>
      <c r="C17" s="205">
        <f t="shared" si="1"/>
        <v>-0.16</v>
      </c>
      <c r="D17" s="205">
        <f t="shared" si="2"/>
        <v>8.84</v>
      </c>
      <c r="E17" s="205">
        <f t="shared" si="3"/>
        <v>10.131380703203527</v>
      </c>
      <c r="F17" s="200">
        <f t="shared" si="4"/>
        <v>10.84</v>
      </c>
      <c r="G17" s="200">
        <f>'Curvas de Bojean'!C68*(D17/$B$5)^4+'Curvas de Bojean'!D68*(D17/$B$5)^3+'Curvas de Bojean'!E68*(D17/$B$5)^2+'Curvas de Bojean'!F68*(D17/$B$5)</f>
        <v>0.61241231553967201</v>
      </c>
      <c r="H17" s="200">
        <f>'Curvas de Bojean'!$C68*(E17/$B$5)^4+'Curvas de Bojean'!$D68*(E17/$B$5)^3+'Curvas de Bojean'!$E68*(E17/$B$5)^2+'Curvas de Bojean'!$F68*(E17/$B$5)</f>
        <v>0.70678214077357493</v>
      </c>
      <c r="I17" s="200">
        <f>'Curvas de Bojean'!$C68*(F17/$B$5)^4+'Curvas de Bojean'!$D68*(F17/$B$5)^3+'Curvas de Bojean'!$E68*(F17/$B$5)^2+'Curvas de Bojean'!$F68*(F17/$B$5)</f>
        <v>0.75856116441071086</v>
      </c>
      <c r="J17" s="200">
        <f t="shared" si="5"/>
        <v>216.92598785570689</v>
      </c>
      <c r="K17" s="200">
        <f t="shared" si="0"/>
        <v>250.35325089922529</v>
      </c>
      <c r="L17" s="200">
        <f t="shared" si="0"/>
        <v>268.69418815289828</v>
      </c>
      <c r="M17" s="216">
        <v>8</v>
      </c>
      <c r="P17" s="21"/>
      <c r="R17" s="215">
        <v>5</v>
      </c>
      <c r="S17" s="205">
        <v>5</v>
      </c>
      <c r="T17" s="200">
        <f t="shared" si="6"/>
        <v>205.50334183187186</v>
      </c>
      <c r="U17" s="205">
        <f t="shared" si="14"/>
        <v>1027.5167091593594</v>
      </c>
      <c r="V17" s="200">
        <f t="shared" si="7"/>
        <v>256.54932787938128</v>
      </c>
      <c r="W17" s="205">
        <f t="shared" si="8"/>
        <v>51.045986047509416</v>
      </c>
      <c r="X17" s="205">
        <f t="shared" si="15"/>
        <v>255.22993023754708</v>
      </c>
      <c r="Y17" s="205">
        <f t="shared" si="9"/>
        <v>1276.1496511877353</v>
      </c>
      <c r="Z17" s="205">
        <f t="shared" si="10"/>
        <v>0.64482595371657847</v>
      </c>
      <c r="AA17" s="205">
        <f t="shared" si="11"/>
        <v>32.915776636488417</v>
      </c>
      <c r="AB17" s="205">
        <f t="shared" si="12"/>
        <v>238.4191184683603</v>
      </c>
      <c r="AC17" s="216">
        <f t="shared" si="13"/>
        <v>1192.0955923418014</v>
      </c>
    </row>
    <row r="18" spans="1:29" x14ac:dyDescent="0.35">
      <c r="A18" s="215">
        <v>7</v>
      </c>
      <c r="B18" s="200">
        <v>-0.47</v>
      </c>
      <c r="C18" s="205">
        <f t="shared" si="1"/>
        <v>-0.47</v>
      </c>
      <c r="D18" s="205">
        <f t="shared" si="2"/>
        <v>8.5299999999999994</v>
      </c>
      <c r="E18" s="205">
        <f t="shared" si="3"/>
        <v>9.8231094989738992</v>
      </c>
      <c r="F18" s="200">
        <f t="shared" si="4"/>
        <v>10.53</v>
      </c>
      <c r="G18" s="200">
        <f>'Curvas de Bojean'!C69*(D18/$B$5)^4+'Curvas de Bojean'!D69*(D18/$B$5)^3+'Curvas de Bojean'!E69*(D18/$B$5)^2+'Curvas de Bojean'!F69*(D18/$B$5)</f>
        <v>0.61365406619530849</v>
      </c>
      <c r="H18" s="200">
        <f>'Curvas de Bojean'!$C69*(E18/$B$5)^4+'Curvas de Bojean'!$D69*(E18/$B$5)^3+'Curvas de Bojean'!$E69*(E18/$B$5)^2+'Curvas de Bojean'!$F69*(E18/$B$5)</f>
        <v>0.70864454640644992</v>
      </c>
      <c r="I18" s="200">
        <f>'Curvas de Bojean'!$C69*(F18/$B$5)^4+'Curvas de Bojean'!$D69*(F18/$B$5)^3+'Curvas de Bojean'!$E69*(F18/$B$5)^2+'Curvas de Bojean'!$F69*(F18/$B$5)</f>
        <v>0.76046931824734598</v>
      </c>
      <c r="J18" s="200">
        <f t="shared" si="5"/>
        <v>217.36583529314296</v>
      </c>
      <c r="K18" s="200">
        <f t="shared" si="0"/>
        <v>251.01294400376943</v>
      </c>
      <c r="L18" s="200">
        <f t="shared" si="0"/>
        <v>269.3700859842931</v>
      </c>
      <c r="M18" s="216">
        <v>8</v>
      </c>
      <c r="P18" s="21"/>
      <c r="R18" s="215">
        <v>6</v>
      </c>
      <c r="S18" s="205">
        <v>6</v>
      </c>
      <c r="T18" s="200">
        <f t="shared" si="6"/>
        <v>216.92598785570689</v>
      </c>
      <c r="U18" s="205">
        <f t="shared" si="14"/>
        <v>1301.5559271342413</v>
      </c>
      <c r="V18" s="200">
        <f t="shared" si="7"/>
        <v>268.69418815289828</v>
      </c>
      <c r="W18" s="205">
        <f t="shared" si="8"/>
        <v>51.768200297191385</v>
      </c>
      <c r="X18" s="205">
        <f t="shared" si="15"/>
        <v>310.60920178314831</v>
      </c>
      <c r="Y18" s="205">
        <f t="shared" si="9"/>
        <v>1863.6552106988897</v>
      </c>
      <c r="Z18" s="205">
        <f t="shared" si="10"/>
        <v>0.64569035160176391</v>
      </c>
      <c r="AA18" s="205">
        <f t="shared" si="11"/>
        <v>33.426227451684042</v>
      </c>
      <c r="AB18" s="205">
        <f t="shared" si="12"/>
        <v>250.35221530739094</v>
      </c>
      <c r="AC18" s="216">
        <f t="shared" si="13"/>
        <v>1502.1132918443457</v>
      </c>
    </row>
    <row r="19" spans="1:29" x14ac:dyDescent="0.35">
      <c r="A19" s="215">
        <v>8</v>
      </c>
      <c r="B19" s="200">
        <v>-0.74</v>
      </c>
      <c r="C19" s="205">
        <f t="shared" si="1"/>
        <v>-0.74</v>
      </c>
      <c r="D19" s="205">
        <f t="shared" si="2"/>
        <v>8.26</v>
      </c>
      <c r="E19" s="205">
        <f t="shared" si="3"/>
        <v>9.55483829474427</v>
      </c>
      <c r="F19" s="200">
        <f t="shared" si="4"/>
        <v>10.26</v>
      </c>
      <c r="G19" s="200">
        <f>'Curvas de Bojean'!C70*(D19/$B$5)^4+'Curvas de Bojean'!D70*(D19/$B$5)^3+'Curvas de Bojean'!E70*(D19/$B$5)^2+'Curvas de Bojean'!F70*(D19/$B$5)</f>
        <v>0.59968618120432038</v>
      </c>
      <c r="H19" s="200">
        <f>'Curvas de Bojean'!$C70*(E19/$B$5)^4+'Curvas de Bojean'!$D70*(E19/$B$5)^3+'Curvas de Bojean'!$E70*(E19/$B$5)^2+'Curvas de Bojean'!$F70*(E19/$B$5)</f>
        <v>0.69482247408647335</v>
      </c>
      <c r="I19" s="200">
        <f>'Curvas de Bojean'!$C70*(F19/$B$5)^4+'Curvas de Bojean'!$D70*(F19/$B$5)^3+'Curvas de Bojean'!$E70*(F19/$B$5)^2+'Curvas de Bojean'!$F70*(F19/$B$5)</f>
        <v>0.74648951798801022</v>
      </c>
      <c r="J19" s="200">
        <f t="shared" si="5"/>
        <v>212.41819271143737</v>
      </c>
      <c r="K19" s="200">
        <f t="shared" si="0"/>
        <v>246.11695054292321</v>
      </c>
      <c r="L19" s="200">
        <f t="shared" si="0"/>
        <v>264.41822282881509</v>
      </c>
      <c r="M19" s="216">
        <v>8</v>
      </c>
      <c r="O19" s="204" t="s">
        <v>1</v>
      </c>
      <c r="P19" s="200">
        <f>E6*((SUM(AC12:AC32))/(SUM(AB12:AB32)))-B6/2</f>
        <v>2.6511761630607111</v>
      </c>
      <c r="R19" s="215">
        <v>7</v>
      </c>
      <c r="S19" s="205">
        <v>7</v>
      </c>
      <c r="T19" s="200">
        <f t="shared" si="6"/>
        <v>217.36583529314296</v>
      </c>
      <c r="U19" s="205">
        <f t="shared" si="14"/>
        <v>1521.5608470520008</v>
      </c>
      <c r="V19" s="200">
        <f t="shared" si="7"/>
        <v>269.3700859842931</v>
      </c>
      <c r="W19" s="205">
        <f t="shared" si="8"/>
        <v>52.004250691150133</v>
      </c>
      <c r="X19" s="205">
        <f t="shared" si="15"/>
        <v>364.02975483805096</v>
      </c>
      <c r="Y19" s="205">
        <f t="shared" si="9"/>
        <v>2548.2082838663569</v>
      </c>
      <c r="Z19" s="205">
        <f t="shared" si="10"/>
        <v>0.64655474948694935</v>
      </c>
      <c r="AA19" s="205">
        <f t="shared" si="11"/>
        <v>33.623595277873086</v>
      </c>
      <c r="AB19" s="205">
        <f t="shared" si="12"/>
        <v>250.98943057101604</v>
      </c>
      <c r="AC19" s="216">
        <f t="shared" si="13"/>
        <v>1756.9260139971122</v>
      </c>
    </row>
    <row r="20" spans="1:29" x14ac:dyDescent="0.35">
      <c r="A20" s="215">
        <v>9</v>
      </c>
      <c r="B20" s="200">
        <v>-0.93</v>
      </c>
      <c r="C20" s="205">
        <f t="shared" si="1"/>
        <v>-0.93</v>
      </c>
      <c r="D20" s="205">
        <f t="shared" si="2"/>
        <v>8.07</v>
      </c>
      <c r="E20" s="205">
        <f t="shared" si="3"/>
        <v>9.366567090514641</v>
      </c>
      <c r="F20" s="200">
        <f t="shared" si="4"/>
        <v>10.07</v>
      </c>
      <c r="G20" s="200">
        <f>'Curvas de Bojean'!C71*(D20/$B$5)^4+'Curvas de Bojean'!D71*(D20/$B$5)^3+'Curvas de Bojean'!E71*(D20/$B$5)^2+'Curvas de Bojean'!F71*(D20/$B$5)</f>
        <v>0.58596149317939827</v>
      </c>
      <c r="H20" s="200">
        <f>'Curvas de Bojean'!$C71*(E20/$B$5)^4+'Curvas de Bojean'!$D71*(E20/$B$5)^3+'Curvas de Bojean'!$E71*(E20/$B$5)^2+'Curvas de Bojean'!$F71*(E20/$B$5)</f>
        <v>0.68128139409327149</v>
      </c>
      <c r="I20" s="200">
        <f>'Curvas de Bojean'!$C71*(F20/$B$5)^4+'Curvas de Bojean'!$D71*(F20/$B$5)^3+'Curvas de Bojean'!$E71*(F20/$B$5)^2+'Curvas de Bojean'!$F71*(F20/$B$5)</f>
        <v>0.7328366442564902</v>
      </c>
      <c r="J20" s="200">
        <f t="shared" si="5"/>
        <v>207.55669428583175</v>
      </c>
      <c r="K20" s="200">
        <f t="shared" si="0"/>
        <v>241.3204889440575</v>
      </c>
      <c r="L20" s="200">
        <f t="shared" si="0"/>
        <v>259.58216214530427</v>
      </c>
      <c r="M20" s="216">
        <v>8</v>
      </c>
      <c r="O20" s="204" t="s">
        <v>515</v>
      </c>
      <c r="P20" s="200">
        <f>'SW Buoyancy Ballast'!N20</f>
        <v>2.651176164769995</v>
      </c>
      <c r="R20" s="215">
        <v>8</v>
      </c>
      <c r="S20" s="205">
        <v>8</v>
      </c>
      <c r="T20" s="200">
        <f t="shared" si="6"/>
        <v>212.41819271143737</v>
      </c>
      <c r="U20" s="205">
        <f t="shared" si="14"/>
        <v>1699.345541691499</v>
      </c>
      <c r="V20" s="200">
        <f t="shared" si="7"/>
        <v>264.41822282881509</v>
      </c>
      <c r="W20" s="205">
        <f t="shared" si="8"/>
        <v>52.000030117377719</v>
      </c>
      <c r="X20" s="205">
        <f t="shared" si="15"/>
        <v>416.00024093902175</v>
      </c>
      <c r="Y20" s="205">
        <f t="shared" si="9"/>
        <v>3328.001927512174</v>
      </c>
      <c r="Z20" s="205">
        <f t="shared" si="10"/>
        <v>0.64741914737213468</v>
      </c>
      <c r="AA20" s="205">
        <f t="shared" si="11"/>
        <v>33.665815161918005</v>
      </c>
      <c r="AB20" s="205">
        <f t="shared" si="12"/>
        <v>246.08400787335538</v>
      </c>
      <c r="AC20" s="216">
        <f t="shared" si="13"/>
        <v>1968.672062986843</v>
      </c>
    </row>
    <row r="21" spans="1:29" x14ac:dyDescent="0.35">
      <c r="A21" s="215">
        <v>10</v>
      </c>
      <c r="B21" s="200">
        <v>-1</v>
      </c>
      <c r="C21" s="205">
        <f t="shared" si="1"/>
        <v>-1</v>
      </c>
      <c r="D21" s="205">
        <f t="shared" si="2"/>
        <v>8</v>
      </c>
      <c r="E21" s="205">
        <f t="shared" si="3"/>
        <v>9.2982958862850111</v>
      </c>
      <c r="F21" s="200">
        <f t="shared" si="4"/>
        <v>10</v>
      </c>
      <c r="G21" s="200">
        <f>'Curvas de Bojean'!C72*(D21/$B$5)^4+'Curvas de Bojean'!D72*(D21/$B$5)^3+'Curvas de Bojean'!E72*(D21/$B$5)^2+'Curvas de Bojean'!F72*(D21/$B$5)</f>
        <v>0.58107526170509838</v>
      </c>
      <c r="H21" s="200">
        <f>'Curvas de Bojean'!$C72*(E21/$B$5)^4+'Curvas de Bojean'!$D72*(E21/$B$5)^3+'Curvas de Bojean'!$E72*(E21/$B$5)^2+'Curvas de Bojean'!$F72*(E21/$B$5)</f>
        <v>0.67654025697310394</v>
      </c>
      <c r="I21" s="200">
        <f>'Curvas de Bojean'!$C72*(F21/$B$5)^4+'Curvas de Bojean'!$D72*(F21/$B$5)^3+'Curvas de Bojean'!$E72*(F21/$B$5)^2+'Curvas de Bojean'!$F72*(F21/$B$5)</f>
        <v>0.7279724429570742</v>
      </c>
      <c r="J21" s="200">
        <f t="shared" si="5"/>
        <v>205.82591493577883</v>
      </c>
      <c r="K21" s="200">
        <f t="shared" si="0"/>
        <v>239.64110427582889</v>
      </c>
      <c r="L21" s="200">
        <f t="shared" si="0"/>
        <v>257.85918622658033</v>
      </c>
      <c r="M21" s="216">
        <v>8</v>
      </c>
      <c r="O21" s="204" t="s">
        <v>516</v>
      </c>
      <c r="P21" s="200">
        <f>(P19-P20)</f>
        <v>-1.7092838255905463E-9</v>
      </c>
      <c r="R21" s="215">
        <v>9</v>
      </c>
      <c r="S21" s="205">
        <v>9</v>
      </c>
      <c r="T21" s="200">
        <f t="shared" si="6"/>
        <v>207.55669428583175</v>
      </c>
      <c r="U21" s="205">
        <f t="shared" si="14"/>
        <v>1868.0102485724858</v>
      </c>
      <c r="V21" s="200">
        <f t="shared" si="7"/>
        <v>259.58216214530427</v>
      </c>
      <c r="W21" s="205">
        <f t="shared" si="8"/>
        <v>52.025467859472514</v>
      </c>
      <c r="X21" s="205">
        <f t="shared" si="15"/>
        <v>468.22921073525265</v>
      </c>
      <c r="Y21" s="205">
        <f t="shared" si="9"/>
        <v>4214.0628966172735</v>
      </c>
      <c r="Z21" s="205">
        <f t="shared" si="10"/>
        <v>0.64828354525732013</v>
      </c>
      <c r="AA21" s="205">
        <f t="shared" si="11"/>
        <v>33.727254747609599</v>
      </c>
      <c r="AB21" s="205">
        <f t="shared" si="12"/>
        <v>241.28394903344136</v>
      </c>
      <c r="AC21" s="216">
        <f t="shared" si="13"/>
        <v>2171.5555413009724</v>
      </c>
    </row>
    <row r="22" spans="1:29" x14ac:dyDescent="0.35">
      <c r="A22" s="215">
        <v>11</v>
      </c>
      <c r="B22" s="200">
        <v>-0.93</v>
      </c>
      <c r="C22" s="205">
        <f t="shared" si="1"/>
        <v>-0.93</v>
      </c>
      <c r="D22" s="205">
        <f t="shared" si="2"/>
        <v>8.07</v>
      </c>
      <c r="E22" s="205">
        <f t="shared" si="3"/>
        <v>9.3700246820553819</v>
      </c>
      <c r="F22" s="200">
        <f t="shared" si="4"/>
        <v>10.07</v>
      </c>
      <c r="G22" s="200">
        <f>'Curvas de Bojean'!C73*(D22/$B$5)^4+'Curvas de Bojean'!D73*(D22/$B$5)^3+'Curvas de Bojean'!E73*(D22/$B$5)^2+'Curvas de Bojean'!F73*(D22/$B$5)</f>
        <v>0.58650762275894697</v>
      </c>
      <c r="H22" s="200">
        <f>'Curvas de Bojean'!$C73*(E22/$B$5)^4+'Curvas de Bojean'!$D73*(E22/$B$5)^3+'Curvas de Bojean'!$E73*(E22/$B$5)^2+'Curvas de Bojean'!$F73*(E22/$B$5)</f>
        <v>0.68206880711588325</v>
      </c>
      <c r="I22" s="200">
        <f>'Curvas de Bojean'!$C73*(F22/$B$5)^4+'Curvas de Bojean'!$D73*(F22/$B$5)^3+'Curvas de Bojean'!$E73*(F22/$B$5)^2+'Curvas de Bojean'!$F73*(F22/$B$5)</f>
        <v>0.73336160620140523</v>
      </c>
      <c r="J22" s="200">
        <f t="shared" si="5"/>
        <v>207.75014189544819</v>
      </c>
      <c r="K22" s="200">
        <f t="shared" si="0"/>
        <v>241.59940291010011</v>
      </c>
      <c r="L22" s="200">
        <f t="shared" si="0"/>
        <v>259.76811184879284</v>
      </c>
      <c r="M22" s="216">
        <v>8</v>
      </c>
      <c r="O22" s="204" t="s">
        <v>514</v>
      </c>
      <c r="P22" s="223">
        <f>ABS(P21/P20)</f>
        <v>6.4472661164666007E-10</v>
      </c>
      <c r="R22" s="215">
        <v>10</v>
      </c>
      <c r="S22" s="205">
        <v>10</v>
      </c>
      <c r="T22" s="200">
        <f t="shared" si="6"/>
        <v>205.82591493577883</v>
      </c>
      <c r="U22" s="205">
        <f t="shared" si="14"/>
        <v>2058.2591493577884</v>
      </c>
      <c r="V22" s="200">
        <f t="shared" si="7"/>
        <v>257.85918622658033</v>
      </c>
      <c r="W22" s="205">
        <f t="shared" si="8"/>
        <v>52.033271290801508</v>
      </c>
      <c r="X22" s="205">
        <f t="shared" si="15"/>
        <v>520.33271290801508</v>
      </c>
      <c r="Y22" s="205">
        <f t="shared" si="9"/>
        <v>5203.3271290801513</v>
      </c>
      <c r="Z22" s="205">
        <f t="shared" si="10"/>
        <v>0.64914794314250557</v>
      </c>
      <c r="AA22" s="205">
        <f t="shared" si="11"/>
        <v>33.777291033399784</v>
      </c>
      <c r="AB22" s="205">
        <f t="shared" si="12"/>
        <v>239.60320596917862</v>
      </c>
      <c r="AC22" s="216">
        <f t="shared" si="13"/>
        <v>2396.0320596917863</v>
      </c>
    </row>
    <row r="23" spans="1:29" x14ac:dyDescent="0.35">
      <c r="A23" s="215">
        <v>12</v>
      </c>
      <c r="B23" s="200">
        <v>-0.74</v>
      </c>
      <c r="C23" s="205">
        <f t="shared" si="1"/>
        <v>-0.74</v>
      </c>
      <c r="D23" s="205">
        <f t="shared" si="2"/>
        <v>8.26</v>
      </c>
      <c r="E23" s="205">
        <f t="shared" si="3"/>
        <v>9.5617534778257536</v>
      </c>
      <c r="F23" s="200">
        <f t="shared" si="4"/>
        <v>10.26</v>
      </c>
      <c r="G23" s="200">
        <f>'Curvas de Bojean'!C74*(D23/$B$5)^4+'Curvas de Bojean'!D74*(D23/$B$5)^3+'Curvas de Bojean'!E74*(D23/$B$5)^2+'Curvas de Bojean'!F74*(D23/$B$5)</f>
        <v>0.60077609826582157</v>
      </c>
      <c r="H23" s="200">
        <f>'Curvas de Bojean'!$C74*(E23/$B$5)^4+'Curvas de Bojean'!$D74*(E23/$B$5)^3+'Curvas de Bojean'!$E74*(E23/$B$5)^2+'Curvas de Bojean'!$F74*(E23/$B$5)</f>
        <v>0.69639231195091056</v>
      </c>
      <c r="I23" s="200">
        <f>'Curvas de Bojean'!$C74*(F23/$B$5)^4+'Curvas de Bojean'!$D74*(F23/$B$5)^3+'Curvas de Bojean'!$E74*(F23/$B$5)^2+'Curvas de Bojean'!$F74*(F23/$B$5)</f>
        <v>0.74753474093213867</v>
      </c>
      <c r="J23" s="200">
        <f t="shared" si="5"/>
        <v>212.80425832319534</v>
      </c>
      <c r="K23" s="200">
        <f t="shared" si="0"/>
        <v>246.67301158362295</v>
      </c>
      <c r="L23" s="200">
        <f t="shared" si="0"/>
        <v>264.78845708755085</v>
      </c>
      <c r="M23" s="216">
        <v>8</v>
      </c>
      <c r="P23" s="21"/>
      <c r="R23" s="215">
        <v>11</v>
      </c>
      <c r="S23" s="205">
        <v>11</v>
      </c>
      <c r="T23" s="200">
        <f t="shared" si="6"/>
        <v>207.75014189544819</v>
      </c>
      <c r="U23" s="205">
        <f t="shared" si="14"/>
        <v>2285.2515608499302</v>
      </c>
      <c r="V23" s="200">
        <f t="shared" si="7"/>
        <v>259.76811184879284</v>
      </c>
      <c r="W23" s="205">
        <f t="shared" si="8"/>
        <v>52.017969953344647</v>
      </c>
      <c r="X23" s="205">
        <f t="shared" si="15"/>
        <v>572.19766948679114</v>
      </c>
      <c r="Y23" s="205">
        <f t="shared" si="9"/>
        <v>6294.1743643547024</v>
      </c>
      <c r="Z23" s="205">
        <f t="shared" si="10"/>
        <v>0.65001234102769101</v>
      </c>
      <c r="AA23" s="205">
        <f t="shared" si="11"/>
        <v>33.812322424881643</v>
      </c>
      <c r="AB23" s="205">
        <f t="shared" si="12"/>
        <v>241.56246432032984</v>
      </c>
      <c r="AC23" s="216">
        <f t="shared" si="13"/>
        <v>2657.1871075236281</v>
      </c>
    </row>
    <row r="24" spans="1:29" x14ac:dyDescent="0.35">
      <c r="A24" s="215">
        <v>13</v>
      </c>
      <c r="B24" s="200">
        <v>-0.47</v>
      </c>
      <c r="C24" s="205">
        <f t="shared" si="1"/>
        <v>-0.47</v>
      </c>
      <c r="D24" s="205">
        <f t="shared" si="2"/>
        <v>8.5299999999999994</v>
      </c>
      <c r="E24" s="205">
        <f t="shared" si="3"/>
        <v>9.8334822735961236</v>
      </c>
      <c r="F24" s="200">
        <f t="shared" si="4"/>
        <v>10.53</v>
      </c>
      <c r="G24" s="200">
        <f>'Curvas de Bojean'!C75*(D24/$B$5)^4+'Curvas de Bojean'!D75*(D24/$B$5)^3+'Curvas de Bojean'!E75*(D24/$B$5)^2+'Curvas de Bojean'!F75*(D24/$B$5)</f>
        <v>0.61815146719127578</v>
      </c>
      <c r="H24" s="200">
        <f>'Curvas de Bojean'!$C75*(E24/$B$5)^4+'Curvas de Bojean'!$D75*(E24/$B$5)^3+'Curvas de Bojean'!$E75*(E24/$B$5)^2+'Curvas de Bojean'!$F75*(E24/$B$5)</f>
        <v>0.71381911653082564</v>
      </c>
      <c r="I24" s="200">
        <f>'Curvas de Bojean'!$C75*(F24/$B$5)^4+'Curvas de Bojean'!$D75*(F24/$B$5)^3+'Curvas de Bojean'!$E75*(F24/$B$5)^2+'Curvas de Bojean'!$F75*(F24/$B$5)</f>
        <v>0.76482506898299496</v>
      </c>
      <c r="J24" s="200">
        <f t="shared" si="5"/>
        <v>218.95888482705661</v>
      </c>
      <c r="K24" s="200">
        <f t="shared" si="0"/>
        <v>252.84585739802353</v>
      </c>
      <c r="L24" s="200">
        <f t="shared" si="0"/>
        <v>270.91296078809455</v>
      </c>
      <c r="M24" s="216">
        <v>8</v>
      </c>
      <c r="P24" s="21"/>
      <c r="R24" s="215">
        <v>12</v>
      </c>
      <c r="S24" s="205">
        <v>12</v>
      </c>
      <c r="T24" s="200">
        <f t="shared" si="6"/>
        <v>212.80425832319534</v>
      </c>
      <c r="U24" s="205">
        <f t="shared" si="14"/>
        <v>2553.6510998783442</v>
      </c>
      <c r="V24" s="200">
        <f t="shared" si="7"/>
        <v>264.78845708755085</v>
      </c>
      <c r="W24" s="205">
        <f t="shared" si="8"/>
        <v>51.984198764355511</v>
      </c>
      <c r="X24" s="205">
        <f t="shared" si="15"/>
        <v>623.81038517226614</v>
      </c>
      <c r="Y24" s="205">
        <f t="shared" si="9"/>
        <v>7485.7246220671932</v>
      </c>
      <c r="Z24" s="205">
        <f t="shared" si="10"/>
        <v>0.65087673891287645</v>
      </c>
      <c r="AA24" s="205">
        <f t="shared" si="11"/>
        <v>33.835305766742493</v>
      </c>
      <c r="AB24" s="205">
        <f t="shared" si="12"/>
        <v>246.63956408993783</v>
      </c>
      <c r="AC24" s="216">
        <f t="shared" si="13"/>
        <v>2959.674769079254</v>
      </c>
    </row>
    <row r="25" spans="1:29" x14ac:dyDescent="0.35">
      <c r="A25" s="215">
        <v>14</v>
      </c>
      <c r="B25" s="200">
        <v>-0.16</v>
      </c>
      <c r="C25" s="205">
        <f t="shared" si="1"/>
        <v>-0.16</v>
      </c>
      <c r="D25" s="205">
        <f t="shared" si="2"/>
        <v>8.84</v>
      </c>
      <c r="E25" s="205">
        <f t="shared" si="3"/>
        <v>10.145211069366495</v>
      </c>
      <c r="F25" s="200">
        <f t="shared" si="4"/>
        <v>10.84</v>
      </c>
      <c r="G25" s="200">
        <f>'Curvas de Bojean'!C76*(D25/$B$5)^4+'Curvas de Bojean'!D76*(D25/$B$5)^3+'Curvas de Bojean'!E76*(D25/$B$5)^2+'Curvas de Bojean'!F76*(D25/$B$5)</f>
        <v>0.63142645576331458</v>
      </c>
      <c r="H25" s="200">
        <f>'Curvas de Bojean'!$C76*(E25/$B$5)^4+'Curvas de Bojean'!$D76*(E25/$B$5)^3+'Curvas de Bojean'!$E76*(E25/$B$5)^2+'Curvas de Bojean'!$F76*(E25/$B$5)</f>
        <v>0.72667992403142023</v>
      </c>
      <c r="I25" s="200">
        <f>'Curvas de Bojean'!$C76*(F25/$B$5)^4+'Curvas de Bojean'!$D76*(F25/$B$5)^3+'Curvas de Bojean'!$E76*(F25/$B$5)^2+'Curvas de Bojean'!$F76*(F25/$B$5)</f>
        <v>0.77734525178063252</v>
      </c>
      <c r="J25" s="200">
        <f t="shared" si="5"/>
        <v>223.66109269697031</v>
      </c>
      <c r="K25" s="200">
        <f t="shared" si="0"/>
        <v>257.40135587657733</v>
      </c>
      <c r="L25" s="200">
        <f t="shared" si="0"/>
        <v>275.34780468753212</v>
      </c>
      <c r="M25" s="216">
        <v>8</v>
      </c>
      <c r="O25" s="204" t="s">
        <v>517</v>
      </c>
      <c r="P25" s="200">
        <f>E11-E31</f>
        <v>-3.4575915407415891E-2</v>
      </c>
      <c r="R25" s="215">
        <v>13</v>
      </c>
      <c r="S25" s="205">
        <v>13</v>
      </c>
      <c r="T25" s="200">
        <f t="shared" si="6"/>
        <v>218.95888482705661</v>
      </c>
      <c r="U25" s="205">
        <f t="shared" si="14"/>
        <v>2846.465502751736</v>
      </c>
      <c r="V25" s="200">
        <f t="shared" si="7"/>
        <v>270.91296078809455</v>
      </c>
      <c r="W25" s="205">
        <f t="shared" si="8"/>
        <v>51.954075961037944</v>
      </c>
      <c r="X25" s="205">
        <f t="shared" si="15"/>
        <v>675.40298749349324</v>
      </c>
      <c r="Y25" s="205">
        <f t="shared" si="9"/>
        <v>8780.2388374154125</v>
      </c>
      <c r="Z25" s="205">
        <f t="shared" si="10"/>
        <v>0.65174113679806178</v>
      </c>
      <c r="AA25" s="205">
        <f t="shared" si="11"/>
        <v>33.860608528139721</v>
      </c>
      <c r="AB25" s="205">
        <f t="shared" si="12"/>
        <v>252.81949335519633</v>
      </c>
      <c r="AC25" s="216">
        <f t="shared" si="13"/>
        <v>3286.6534136175524</v>
      </c>
    </row>
    <row r="26" spans="1:29" x14ac:dyDescent="0.35">
      <c r="A26" s="215">
        <v>15</v>
      </c>
      <c r="B26" s="200">
        <v>0.15</v>
      </c>
      <c r="C26" s="205">
        <f t="shared" si="1"/>
        <v>0.15</v>
      </c>
      <c r="D26" s="205">
        <f t="shared" si="2"/>
        <v>9.15</v>
      </c>
      <c r="E26" s="205">
        <f t="shared" si="3"/>
        <v>10.456939865136865</v>
      </c>
      <c r="F26" s="200">
        <f t="shared" si="4"/>
        <v>11.15</v>
      </c>
      <c r="G26" s="200">
        <f>'Curvas de Bojean'!C77*(D26/$B$5)^4+'Curvas de Bojean'!D77*(D26/$B$5)^3+'Curvas de Bojean'!E77*(D26/$B$5)^2+'Curvas de Bojean'!F77*(D26/$B$5)</f>
        <v>0.62932988315376193</v>
      </c>
      <c r="H26" s="200">
        <f>'Curvas de Bojean'!$C77*(E26/$B$5)^4+'Curvas de Bojean'!$D77*(E26/$B$5)^3+'Curvas de Bojean'!$E77*(E26/$B$5)^2+'Curvas de Bojean'!$F77*(E26/$B$5)</f>
        <v>0.72322696534006881</v>
      </c>
      <c r="I26" s="200">
        <f>'Curvas de Bojean'!$C77*(F26/$B$5)^4+'Curvas de Bojean'!$D77*(F26/$B$5)^3+'Curvas de Bojean'!$E77*(F26/$B$5)^2+'Curvas de Bojean'!$F77*(F26/$B$5)</f>
        <v>0.77308888022928213</v>
      </c>
      <c r="J26" s="200">
        <f t="shared" si="5"/>
        <v>222.91845399931833</v>
      </c>
      <c r="K26" s="200">
        <f t="shared" si="0"/>
        <v>256.1782640867163</v>
      </c>
      <c r="L26" s="200">
        <f t="shared" si="0"/>
        <v>273.84013153983591</v>
      </c>
      <c r="M26" s="216">
        <v>8</v>
      </c>
      <c r="R26" s="215">
        <v>14</v>
      </c>
      <c r="S26" s="205">
        <v>14</v>
      </c>
      <c r="T26" s="200">
        <f t="shared" si="6"/>
        <v>223.66109269697031</v>
      </c>
      <c r="U26" s="205">
        <f t="shared" si="14"/>
        <v>3131.2552977575842</v>
      </c>
      <c r="V26" s="200">
        <f t="shared" si="7"/>
        <v>275.34780468753212</v>
      </c>
      <c r="W26" s="205">
        <f t="shared" si="8"/>
        <v>51.686711990561804</v>
      </c>
      <c r="X26" s="205">
        <f t="shared" si="15"/>
        <v>723.61396786786531</v>
      </c>
      <c r="Y26" s="205">
        <f t="shared" si="9"/>
        <v>10130.595550150114</v>
      </c>
      <c r="Z26" s="205">
        <f t="shared" si="10"/>
        <v>0.65260553468324722</v>
      </c>
      <c r="AA26" s="205">
        <f t="shared" si="11"/>
        <v>33.731034314619592</v>
      </c>
      <c r="AB26" s="205">
        <f t="shared" si="12"/>
        <v>257.39212701158988</v>
      </c>
      <c r="AC26" s="216">
        <f t="shared" si="13"/>
        <v>3603.4897781622585</v>
      </c>
    </row>
    <row r="27" spans="1:29" x14ac:dyDescent="0.35">
      <c r="A27" s="215">
        <v>16</v>
      </c>
      <c r="B27" s="200">
        <v>0.44</v>
      </c>
      <c r="C27" s="205">
        <f t="shared" si="1"/>
        <v>0.44</v>
      </c>
      <c r="D27" s="205">
        <f t="shared" si="2"/>
        <v>9.44</v>
      </c>
      <c r="E27" s="205">
        <f t="shared" si="3"/>
        <v>10.748668660907237</v>
      </c>
      <c r="F27" s="200">
        <f t="shared" si="4"/>
        <v>11.44</v>
      </c>
      <c r="G27" s="200">
        <f>'Curvas de Bojean'!C78*(D27/$B$5)^4+'Curvas de Bojean'!D78*(D27/$B$5)^3+'Curvas de Bojean'!E78*(D27/$B$5)^2+'Curvas de Bojean'!F78*(D27/$B$5)</f>
        <v>0.5941028967005747</v>
      </c>
      <c r="H27" s="200">
        <f>'Curvas de Bojean'!$C78*(E27/$B$5)^4+'Curvas de Bojean'!$D78*(E27/$B$5)^3+'Curvas de Bojean'!$E78*(E27/$B$5)^2+'Curvas de Bojean'!$F78*(E27/$B$5)</f>
        <v>0.68302848690186924</v>
      </c>
      <c r="I27" s="200">
        <f>'Curvas de Bojean'!$C78*(F27/$B$5)^4+'Curvas de Bojean'!$D78*(F27/$B$5)^3+'Curvas de Bojean'!$E78*(F27/$B$5)^2+'Curvas de Bojean'!$F78*(F27/$B$5)</f>
        <v>0.73025825245511844</v>
      </c>
      <c r="J27" s="200">
        <f t="shared" si="5"/>
        <v>210.44050631336555</v>
      </c>
      <c r="K27" s="200">
        <f t="shared" si="5"/>
        <v>241.93933644885774</v>
      </c>
      <c r="L27" s="200">
        <f t="shared" si="5"/>
        <v>258.66885557977787</v>
      </c>
      <c r="M27" s="216">
        <v>8</v>
      </c>
      <c r="R27" s="215">
        <v>15</v>
      </c>
      <c r="S27" s="205">
        <v>15</v>
      </c>
      <c r="T27" s="200">
        <f t="shared" si="6"/>
        <v>222.91845399931833</v>
      </c>
      <c r="U27" s="205">
        <f t="shared" si="14"/>
        <v>3343.7768099897748</v>
      </c>
      <c r="V27" s="200">
        <f t="shared" si="7"/>
        <v>273.84013153983591</v>
      </c>
      <c r="W27" s="205">
        <f t="shared" si="8"/>
        <v>50.921677540517578</v>
      </c>
      <c r="X27" s="205">
        <f t="shared" si="15"/>
        <v>763.82516310776373</v>
      </c>
      <c r="Y27" s="205">
        <f t="shared" si="9"/>
        <v>11457.377446616456</v>
      </c>
      <c r="Z27" s="205">
        <f t="shared" si="10"/>
        <v>0.65346993256843267</v>
      </c>
      <c r="AA27" s="205">
        <f t="shared" si="11"/>
        <v>33.275785188673495</v>
      </c>
      <c r="AB27" s="205">
        <f t="shared" si="12"/>
        <v>256.1942391879918</v>
      </c>
      <c r="AC27" s="216">
        <f t="shared" si="13"/>
        <v>3842.9135878198767</v>
      </c>
    </row>
    <row r="28" spans="1:29" x14ac:dyDescent="0.35">
      <c r="A28" s="215">
        <v>17</v>
      </c>
      <c r="B28" s="200">
        <v>0.68</v>
      </c>
      <c r="C28" s="205">
        <f t="shared" si="1"/>
        <v>0.68</v>
      </c>
      <c r="D28" s="205">
        <f t="shared" si="2"/>
        <v>9.68</v>
      </c>
      <c r="E28" s="205">
        <f t="shared" si="3"/>
        <v>10.990397456677607</v>
      </c>
      <c r="F28" s="200">
        <f t="shared" si="4"/>
        <v>11.68</v>
      </c>
      <c r="G28" s="200">
        <f>'Curvas de Bojean'!C79*(D28/$B$5)^4+'Curvas de Bojean'!D79*(D28/$B$5)^3+'Curvas de Bojean'!E79*(D28/$B$5)^2+'Curvas de Bojean'!F79*(D28/$B$5)</f>
        <v>0.51316783684852807</v>
      </c>
      <c r="H28" s="200">
        <f>'Curvas de Bojean'!$C79*(E28/$B$5)^4+'Curvas de Bojean'!$D79*(E28/$B$5)^3+'Curvas de Bojean'!$E79*(E28/$B$5)^2+'Curvas de Bojean'!$F79*(E28/$B$5)</f>
        <v>0.5911598990752911</v>
      </c>
      <c r="I28" s="200">
        <f>'Curvas de Bojean'!$C79*(F28/$B$5)^4+'Curvas de Bojean'!$D79*(F28/$B$5)^3+'Curvas de Bojean'!$E79*(F28/$B$5)^2+'Curvas de Bojean'!$F79*(F28/$B$5)</f>
        <v>0.6327164588729195</v>
      </c>
      <c r="J28" s="200">
        <f t="shared" si="5"/>
        <v>181.77204657624478</v>
      </c>
      <c r="K28" s="200">
        <f t="shared" si="5"/>
        <v>209.39805068188616</v>
      </c>
      <c r="L28" s="200">
        <f t="shared" si="5"/>
        <v>224.11803190571464</v>
      </c>
      <c r="M28" s="216">
        <v>8</v>
      </c>
      <c r="R28" s="215">
        <v>16</v>
      </c>
      <c r="S28" s="205">
        <v>16</v>
      </c>
      <c r="T28" s="200">
        <f t="shared" si="6"/>
        <v>210.44050631336555</v>
      </c>
      <c r="U28" s="205">
        <f t="shared" si="14"/>
        <v>3367.0481010138487</v>
      </c>
      <c r="V28" s="200">
        <f t="shared" si="7"/>
        <v>258.66885557977787</v>
      </c>
      <c r="W28" s="205">
        <f t="shared" si="8"/>
        <v>48.228349266412323</v>
      </c>
      <c r="X28" s="205">
        <f t="shared" si="15"/>
        <v>771.65358826259717</v>
      </c>
      <c r="Y28" s="205">
        <f t="shared" si="9"/>
        <v>12346.457412201555</v>
      </c>
      <c r="Z28" s="205">
        <f t="shared" si="10"/>
        <v>0.65433433045361811</v>
      </c>
      <c r="AA28" s="205">
        <f t="shared" si="11"/>
        <v>31.557464626121153</v>
      </c>
      <c r="AB28" s="205">
        <f t="shared" si="12"/>
        <v>241.99797093948669</v>
      </c>
      <c r="AC28" s="216">
        <f t="shared" si="13"/>
        <v>3871.9675350317871</v>
      </c>
    </row>
    <row r="29" spans="1:29" x14ac:dyDescent="0.35">
      <c r="A29" s="215">
        <v>18</v>
      </c>
      <c r="B29" s="200">
        <v>0.85</v>
      </c>
      <c r="C29" s="205">
        <f t="shared" si="1"/>
        <v>0.85</v>
      </c>
      <c r="D29" s="205">
        <f t="shared" si="2"/>
        <v>9.85</v>
      </c>
      <c r="E29" s="205">
        <f t="shared" si="3"/>
        <v>11.162126252447978</v>
      </c>
      <c r="F29" s="200">
        <f t="shared" si="4"/>
        <v>11.85</v>
      </c>
      <c r="G29" s="200">
        <f>'Curvas de Bojean'!C80*(D29/$B$5)^4+'Curvas de Bojean'!D80*(D29/$B$5)^3+'Curvas de Bojean'!E80*(D29/$B$5)^2+'Curvas de Bojean'!F80*(D29/$B$5)</f>
        <v>0.38800733949955946</v>
      </c>
      <c r="H29" s="200">
        <f>'Curvas de Bojean'!$C80*(E29/$B$5)^4+'Curvas de Bojean'!$D80*(E29/$B$5)^3+'Curvas de Bojean'!$E80*(E29/$B$5)^2+'Curvas de Bojean'!$F80*(E29/$B$5)</f>
        <v>0.44711856132770494</v>
      </c>
      <c r="I29" s="200">
        <f>'Curvas de Bojean'!$C80*(F29/$B$5)^4+'Curvas de Bojean'!$D80*(F29/$B$5)^3+'Curvas de Bojean'!$E80*(F29/$B$5)^2+'Curvas de Bojean'!$F80*(F29/$B$5)</f>
        <v>0.47874416313760715</v>
      </c>
      <c r="J29" s="200">
        <f t="shared" si="5"/>
        <v>137.43824753431844</v>
      </c>
      <c r="K29" s="200">
        <f t="shared" si="5"/>
        <v>158.37636367446916</v>
      </c>
      <c r="L29" s="200">
        <f t="shared" si="5"/>
        <v>169.5786447848657</v>
      </c>
      <c r="M29" s="216">
        <v>8</v>
      </c>
      <c r="R29" s="215">
        <v>17</v>
      </c>
      <c r="S29" s="205">
        <v>17</v>
      </c>
      <c r="T29" s="200">
        <f t="shared" si="6"/>
        <v>181.77204657624478</v>
      </c>
      <c r="U29" s="205">
        <f t="shared" si="14"/>
        <v>3090.1247917961614</v>
      </c>
      <c r="V29" s="200">
        <f t="shared" si="7"/>
        <v>224.11803190571464</v>
      </c>
      <c r="W29" s="205">
        <f t="shared" si="8"/>
        <v>42.345985329469869</v>
      </c>
      <c r="X29" s="205">
        <f t="shared" si="15"/>
        <v>719.88175060098774</v>
      </c>
      <c r="Y29" s="205">
        <f t="shared" si="9"/>
        <v>12237.989760216791</v>
      </c>
      <c r="Z29" s="205">
        <f t="shared" si="10"/>
        <v>0.65519872833880344</v>
      </c>
      <c r="AA29" s="205">
        <f t="shared" si="11"/>
        <v>27.745035738122283</v>
      </c>
      <c r="AB29" s="205">
        <f t="shared" si="12"/>
        <v>209.51708231436706</v>
      </c>
      <c r="AC29" s="216">
        <f t="shared" si="13"/>
        <v>3561.7903993442401</v>
      </c>
    </row>
    <row r="30" spans="1:29" x14ac:dyDescent="0.35">
      <c r="A30" s="215">
        <v>19</v>
      </c>
      <c r="B30" s="200">
        <v>0.96</v>
      </c>
      <c r="C30" s="205">
        <f t="shared" si="1"/>
        <v>0.96</v>
      </c>
      <c r="D30" s="205">
        <f t="shared" si="2"/>
        <v>9.9600000000000009</v>
      </c>
      <c r="E30" s="205">
        <f t="shared" si="3"/>
        <v>11.273855048218349</v>
      </c>
      <c r="F30" s="200">
        <f t="shared" si="4"/>
        <v>11.96</v>
      </c>
      <c r="G30" s="200">
        <f>'Curvas de Bojean'!C81*(D30/$B$5)^4+'Curvas de Bojean'!D81*(D30/$B$5)^3+'Curvas de Bojean'!E81*(D30/$B$5)^2+'Curvas de Bojean'!F81*(D30/$B$5)</f>
        <v>0.20827181518648438</v>
      </c>
      <c r="H30" s="200">
        <f>'Curvas de Bojean'!$C81*(E30/$B$5)^4+'Curvas de Bojean'!$D81*(E30/$B$5)^3+'Curvas de Bojean'!$E81*(E30/$B$5)^2+'Curvas de Bojean'!$F81*(E30/$B$5)</f>
        <v>0.24062490124174696</v>
      </c>
      <c r="I30" s="200">
        <f>'Curvas de Bojean'!$C81*(F30/$B$5)^4+'Curvas de Bojean'!$D81*(F30/$B$5)^3+'Curvas de Bojean'!$E81*(F30/$B$5)^2+'Curvas de Bojean'!$F81*(F30/$B$5)</f>
        <v>0.25821759241811576</v>
      </c>
      <c r="J30" s="200">
        <f t="shared" si="5"/>
        <v>73.773123278907363</v>
      </c>
      <c r="K30" s="200">
        <f t="shared" si="5"/>
        <v>85.23309064833218</v>
      </c>
      <c r="L30" s="200">
        <f t="shared" si="5"/>
        <v>91.464696080876678</v>
      </c>
      <c r="M30" s="216">
        <v>8</v>
      </c>
      <c r="R30" s="215">
        <v>18</v>
      </c>
      <c r="S30" s="205">
        <v>18</v>
      </c>
      <c r="T30" s="200">
        <f t="shared" si="6"/>
        <v>137.43824753431844</v>
      </c>
      <c r="U30" s="205">
        <f t="shared" si="14"/>
        <v>2473.8884556177318</v>
      </c>
      <c r="V30" s="200">
        <f t="shared" si="7"/>
        <v>169.5786447848657</v>
      </c>
      <c r="W30" s="205">
        <f t="shared" si="8"/>
        <v>32.140397250547267</v>
      </c>
      <c r="X30" s="205">
        <f t="shared" si="15"/>
        <v>578.5271505098508</v>
      </c>
      <c r="Y30" s="205">
        <f t="shared" si="9"/>
        <v>10413.488709177314</v>
      </c>
      <c r="Z30" s="205">
        <f t="shared" si="10"/>
        <v>0.65606312622398888</v>
      </c>
      <c r="AA30" s="205">
        <f t="shared" si="11"/>
        <v>21.086129498274936</v>
      </c>
      <c r="AB30" s="205">
        <f t="shared" si="12"/>
        <v>158.52437703259338</v>
      </c>
      <c r="AC30" s="216">
        <f t="shared" si="13"/>
        <v>2853.4387865866806</v>
      </c>
    </row>
    <row r="31" spans="1:29" ht="15" thickBot="1" x14ac:dyDescent="0.4">
      <c r="A31" s="225">
        <v>20</v>
      </c>
      <c r="B31" s="227">
        <v>1</v>
      </c>
      <c r="C31" s="226">
        <f t="shared" si="1"/>
        <v>1</v>
      </c>
      <c r="D31" s="226">
        <f t="shared" si="2"/>
        <v>10</v>
      </c>
      <c r="E31" s="205">
        <f t="shared" si="3"/>
        <v>11.315583843988719</v>
      </c>
      <c r="F31" s="227">
        <f t="shared" si="4"/>
        <v>12</v>
      </c>
      <c r="G31" s="200">
        <f>'Curvas de Bojean'!C82*(D31/$B$5)^4+'Curvas de Bojean'!D82*(D31/$B$5)^3+'Curvas de Bojean'!E82*(D31/$B$5)^2+'Curvas de Bojean'!F82*(D31/$B$5)</f>
        <v>-3.0141001646886642E-5</v>
      </c>
      <c r="H31" s="200">
        <f>'Curvas de Bojean'!$C82*(E31/$B$5)^4+'Curvas de Bojean'!$D82*(E31/$B$5)^3+'Curvas de Bojean'!$E82*(E31/$B$5)^2+'Curvas de Bojean'!$F82*(E31/$B$5)</f>
        <v>1.157838938407138E-3</v>
      </c>
      <c r="I31" s="200">
        <f>'Curvas de Bojean'!$C82*(F31/$B$5)^4+'Curvas de Bojean'!$D82*(F31/$B$5)^3+'Curvas de Bojean'!$E82*(F31/$B$5)^2+'Curvas de Bojean'!$F82*(F31/$B$5)</f>
        <v>2.3269057195742003E-3</v>
      </c>
      <c r="J31" s="200">
        <f t="shared" si="5"/>
        <v>-1.0676412592143272E-2</v>
      </c>
      <c r="K31" s="200">
        <f t="shared" si="5"/>
        <v>0.41012459925865241</v>
      </c>
      <c r="L31" s="200">
        <f t="shared" si="5"/>
        <v>0.82422627543163629</v>
      </c>
      <c r="M31" s="216">
        <v>8</v>
      </c>
      <c r="R31" s="215">
        <v>19</v>
      </c>
      <c r="S31" s="205">
        <v>19</v>
      </c>
      <c r="T31" s="200">
        <f t="shared" si="6"/>
        <v>73.773123278907363</v>
      </c>
      <c r="U31" s="205">
        <f t="shared" si="14"/>
        <v>1401.6893422992398</v>
      </c>
      <c r="V31" s="200">
        <f t="shared" si="7"/>
        <v>91.464696080876678</v>
      </c>
      <c r="W31" s="205">
        <f t="shared" si="8"/>
        <v>17.691572801969315</v>
      </c>
      <c r="X31" s="205">
        <f t="shared" si="15"/>
        <v>336.139883237417</v>
      </c>
      <c r="Y31" s="205">
        <f t="shared" si="9"/>
        <v>6386.6577815109231</v>
      </c>
      <c r="Z31" s="205">
        <f t="shared" si="10"/>
        <v>0.65692752410917432</v>
      </c>
      <c r="AA31" s="205">
        <f t="shared" si="11"/>
        <v>11.62208111839491</v>
      </c>
      <c r="AB31" s="205">
        <f t="shared" si="12"/>
        <v>85.39520439730228</v>
      </c>
      <c r="AC31" s="216">
        <f t="shared" si="13"/>
        <v>1622.5088835487434</v>
      </c>
    </row>
    <row r="32" spans="1:29" ht="15" thickBot="1" x14ac:dyDescent="0.4">
      <c r="G32" t="b" cm="1">
        <f t="array" ref="G32">SUMPRODUCT(--(G11:G31 &gt; H11:H31)) &gt; 0</f>
        <v>0</v>
      </c>
      <c r="K32" t="b" cm="1">
        <f t="array" ref="K32">SUMPRODUCT(--(K11:K31 &gt; L11:L31)) &gt; 0</f>
        <v>0</v>
      </c>
      <c r="R32" s="225">
        <v>20</v>
      </c>
      <c r="S32" s="226">
        <v>20</v>
      </c>
      <c r="T32" s="200">
        <f t="shared" si="6"/>
        <v>-1.0676412592143272E-2</v>
      </c>
      <c r="U32" s="226">
        <f>T32*S32</f>
        <v>-0.21352825184286545</v>
      </c>
      <c r="V32" s="200">
        <f t="shared" si="7"/>
        <v>0.82422627543163629</v>
      </c>
      <c r="W32" s="226">
        <f>V32-T32</f>
        <v>0.83490268802377954</v>
      </c>
      <c r="X32" s="226">
        <f>W32*S32</f>
        <v>16.698053760475592</v>
      </c>
      <c r="Y32" s="226">
        <f>X32*S32</f>
        <v>333.96107520951182</v>
      </c>
      <c r="Z32" s="226">
        <f t="shared" si="10"/>
        <v>0.65779192199435976</v>
      </c>
      <c r="AA32" s="226">
        <f>W32*Z32</f>
        <v>0.54919224383341925</v>
      </c>
      <c r="AB32" s="226">
        <f>T32+AA32</f>
        <v>0.538515831241276</v>
      </c>
      <c r="AC32" s="228">
        <f>AB32*S32</f>
        <v>10.77031662482552</v>
      </c>
    </row>
    <row r="33" spans="7:11" x14ac:dyDescent="0.35">
      <c r="G33" t="s">
        <v>527</v>
      </c>
      <c r="K33" t="s">
        <v>526</v>
      </c>
    </row>
    <row r="34" spans="7:11" x14ac:dyDescent="0.35">
      <c r="K34" s="236"/>
    </row>
  </sheetData>
  <mergeCells count="1">
    <mergeCell ref="A1:E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2B3A-D3E9-426A-A92B-3410DF652E0A}">
  <dimension ref="A1:AC34"/>
  <sheetViews>
    <sheetView zoomScale="55" zoomScaleNormal="55" workbookViewId="0">
      <selection activeCell="Z55" sqref="Z55"/>
    </sheetView>
  </sheetViews>
  <sheetFormatPr defaultRowHeight="14.5" x14ac:dyDescent="0.35"/>
  <cols>
    <col min="2" max="2" width="21.54296875" bestFit="1" customWidth="1"/>
    <col min="3" max="3" width="16.1796875" bestFit="1" customWidth="1"/>
    <col min="4" max="4" width="10.26953125" bestFit="1" customWidth="1"/>
    <col min="11" max="11" width="17.453125" bestFit="1" customWidth="1"/>
    <col min="16" max="16" width="12.7265625" bestFit="1" customWidth="1"/>
  </cols>
  <sheetData>
    <row r="1" spans="1:29" x14ac:dyDescent="0.35">
      <c r="A1" s="380" t="s">
        <v>519</v>
      </c>
      <c r="B1" s="380"/>
      <c r="C1" s="380"/>
      <c r="D1" s="380"/>
      <c r="E1" s="380"/>
    </row>
    <row r="4" spans="1:29" x14ac:dyDescent="0.35">
      <c r="A4" s="204" t="s">
        <v>6</v>
      </c>
      <c r="B4" s="200">
        <f>Prelude!F2</f>
        <v>9.9</v>
      </c>
      <c r="D4" s="204" t="s">
        <v>490</v>
      </c>
      <c r="E4" s="205">
        <v>9</v>
      </c>
      <c r="G4" s="204" t="s">
        <v>9</v>
      </c>
      <c r="H4">
        <v>1.1825231961283098</v>
      </c>
    </row>
    <row r="5" spans="1:29" x14ac:dyDescent="0.35">
      <c r="A5" s="204" t="s">
        <v>5</v>
      </c>
      <c r="B5" s="200">
        <f>Prelude!E2</f>
        <v>13.7</v>
      </c>
      <c r="D5" s="204" t="s">
        <v>491</v>
      </c>
      <c r="E5" s="200">
        <f>E4+H6</f>
        <v>11</v>
      </c>
      <c r="G5" s="204" t="s">
        <v>10</v>
      </c>
      <c r="H5">
        <v>-0.15071536961357823</v>
      </c>
    </row>
    <row r="6" spans="1:29" x14ac:dyDescent="0.35">
      <c r="A6" s="204" t="s">
        <v>4</v>
      </c>
      <c r="B6" s="200">
        <f>Prelude!C2</f>
        <v>187</v>
      </c>
      <c r="D6" s="204" t="s">
        <v>492</v>
      </c>
      <c r="E6" s="205">
        <f>B6/20</f>
        <v>9.35</v>
      </c>
      <c r="G6" s="204" t="s">
        <v>493</v>
      </c>
      <c r="H6" s="239">
        <v>2</v>
      </c>
    </row>
    <row r="7" spans="1:29" x14ac:dyDescent="0.35">
      <c r="J7" s="1" t="s">
        <v>522</v>
      </c>
      <c r="K7" s="1">
        <f>'Curvas de Bojean'!K17*2</f>
        <v>354.2155870339522</v>
      </c>
    </row>
    <row r="9" spans="1:29" ht="15" thickBot="1" x14ac:dyDescent="0.4"/>
    <row r="10" spans="1:29" x14ac:dyDescent="0.35">
      <c r="A10" s="207" t="s">
        <v>58</v>
      </c>
      <c r="B10" s="208" t="s">
        <v>520</v>
      </c>
      <c r="C10" s="208" t="s">
        <v>521</v>
      </c>
      <c r="D10" s="208" t="s">
        <v>494</v>
      </c>
      <c r="E10" s="208" t="s">
        <v>495</v>
      </c>
      <c r="F10" s="208" t="s">
        <v>496</v>
      </c>
      <c r="G10" s="208" t="s">
        <v>497</v>
      </c>
      <c r="H10" s="208" t="s">
        <v>498</v>
      </c>
      <c r="I10" s="208" t="s">
        <v>499</v>
      </c>
      <c r="J10" s="208" t="s">
        <v>500</v>
      </c>
      <c r="K10" s="208" t="s">
        <v>501</v>
      </c>
      <c r="L10" s="208" t="s">
        <v>502</v>
      </c>
      <c r="M10" s="210" t="s">
        <v>503</v>
      </c>
      <c r="R10" s="211" t="s">
        <v>58</v>
      </c>
      <c r="S10" s="212" t="s">
        <v>94</v>
      </c>
      <c r="T10" s="213" t="s">
        <v>504</v>
      </c>
      <c r="U10" s="208" t="s">
        <v>505</v>
      </c>
      <c r="V10" s="213" t="s">
        <v>506</v>
      </c>
      <c r="W10" s="213" t="s">
        <v>507</v>
      </c>
      <c r="X10" s="213" t="s">
        <v>508</v>
      </c>
      <c r="Y10" s="213" t="s">
        <v>509</v>
      </c>
      <c r="Z10" s="213" t="s">
        <v>510</v>
      </c>
      <c r="AA10" s="213" t="s">
        <v>511</v>
      </c>
      <c r="AB10" s="213" t="s">
        <v>512</v>
      </c>
      <c r="AC10" s="214" t="s">
        <v>513</v>
      </c>
    </row>
    <row r="11" spans="1:29" x14ac:dyDescent="0.35">
      <c r="A11" s="215">
        <v>0</v>
      </c>
      <c r="B11" s="200">
        <v>-1</v>
      </c>
      <c r="C11" s="205">
        <f>B11</f>
        <v>-1</v>
      </c>
      <c r="D11" s="205">
        <f>$E$4+C11</f>
        <v>8</v>
      </c>
      <c r="E11" s="205">
        <f>(D11)+($H$4)+(($H$5)*((S12*$E$6)/($B$6)))</f>
        <v>9.1825231961283098</v>
      </c>
      <c r="F11" s="200">
        <f>$E$5+C11</f>
        <v>10</v>
      </c>
      <c r="G11" s="200">
        <f>'Curvas de Bojean'!C62*(D11/$B$5)^4+'Curvas de Bojean'!D62*(D11/$B$5)^3+'Curvas de Bojean'!E62*(D11/$B$5)^2+'Curvas de Bojean'!F62*(D11/$B$5)</f>
        <v>7.9252334611103832E-4</v>
      </c>
      <c r="H11" s="200">
        <f>'Curvas de Bojean'!$C62*(E11/$B$5)^4+'Curvas de Bojean'!$D62*(E11/$B$5)^3+'Curvas de Bojean'!$E62*(E11/$B$5)^2+'Curvas de Bojean'!$F62*(E11/$B$5)</f>
        <v>4.6098001754368125E-3</v>
      </c>
      <c r="I11" s="200">
        <f>'Curvas de Bojean'!$C62*(F11/$B$5)^4+'Curvas de Bojean'!$D62*(F11/$B$5)^3+'Curvas de Bojean'!$E62*(F11/$B$5)^2+'Curvas de Bojean'!$F62*(F11/$B$5)</f>
        <v>9.4304176930640575E-3</v>
      </c>
      <c r="J11" s="200">
        <f>($K$7)*G11</f>
        <v>0.28072412228083354</v>
      </c>
      <c r="K11" s="200">
        <f t="shared" ref="K11:K30" si="0">IF(($K$7)*H11&lt;0,0,($K$7)*H11)</f>
        <v>1.6328630752515665</v>
      </c>
      <c r="L11" s="200">
        <f t="shared" ref="L11:L26" si="1">($K$7)*I11</f>
        <v>3.3404009391240543</v>
      </c>
      <c r="M11" s="216">
        <v>8</v>
      </c>
      <c r="R11" s="217"/>
      <c r="S11" s="218"/>
      <c r="T11" s="203" t="s">
        <v>2</v>
      </c>
      <c r="U11" s="219"/>
      <c r="V11" s="203" t="s">
        <v>96</v>
      </c>
      <c r="W11" s="203" t="s">
        <v>97</v>
      </c>
      <c r="X11" s="203" t="s">
        <v>5</v>
      </c>
      <c r="Y11" s="219"/>
      <c r="Z11" s="203" t="s">
        <v>98</v>
      </c>
      <c r="AA11" s="203" t="s">
        <v>99</v>
      </c>
      <c r="AB11" s="203" t="s">
        <v>100</v>
      </c>
      <c r="AC11" s="220"/>
    </row>
    <row r="12" spans="1:29" x14ac:dyDescent="0.35">
      <c r="A12" s="215">
        <v>1</v>
      </c>
      <c r="B12" s="200">
        <v>-0.96</v>
      </c>
      <c r="C12" s="205">
        <f t="shared" ref="C12:C31" si="2">B12</f>
        <v>-0.96</v>
      </c>
      <c r="D12" s="205">
        <f t="shared" ref="D12:D31" si="3">$E$4+C12</f>
        <v>8.0399999999999991</v>
      </c>
      <c r="E12" s="205">
        <f t="shared" ref="E12:E31" si="4">(D12)+($H$4)+(($H$5)*((S13*$E$6)/($B$6)))</f>
        <v>9.21498742764763</v>
      </c>
      <c r="F12" s="200">
        <f t="shared" ref="F12:F31" si="5">$E$5+C12</f>
        <v>10.039999999999999</v>
      </c>
      <c r="G12" s="200">
        <f>'Curvas de Bojean'!C63*(D12/$B$5)^4+'Curvas de Bojean'!D63*(D12/$B$5)^3+'Curvas de Bojean'!E63*(D12/$B$5)^2+'Curvas de Bojean'!F63*(D12/$B$5)</f>
        <v>7.2602457891863523E-2</v>
      </c>
      <c r="H12" s="200">
        <f>'Curvas de Bojean'!$C63*(E12/$B$5)^4+'Curvas de Bojean'!$D63*(E12/$B$5)^3+'Curvas de Bojean'!$E63*(E12/$B$5)^2+'Curvas de Bojean'!$F63*(E12/$B$5)</f>
        <v>9.6004696097730741E-2</v>
      </c>
      <c r="I12" s="200">
        <f>'Curvas de Bojean'!$C63*(F12/$B$5)^4+'Curvas de Bojean'!$D63*(F12/$B$5)^3+'Curvas de Bojean'!$E63*(F12/$B$5)^2+'Curvas de Bojean'!$F63*(F12/$B$5)</f>
        <v>0.11632016992639251</v>
      </c>
      <c r="J12" s="200">
        <f t="shared" ref="J12:L31" si="6">($K$7)*G12</f>
        <v>25.716922242274233</v>
      </c>
      <c r="K12" s="200">
        <f t="shared" si="0"/>
        <v>34.006359786273876</v>
      </c>
      <c r="L12" s="200">
        <f t="shared" si="1"/>
        <v>41.202417274366191</v>
      </c>
      <c r="M12" s="216">
        <v>8</v>
      </c>
      <c r="R12" s="215">
        <v>0</v>
      </c>
      <c r="S12" s="205">
        <v>0</v>
      </c>
      <c r="T12" s="200">
        <f>J11</f>
        <v>0.28072412228083354</v>
      </c>
      <c r="U12" s="205">
        <f>T12*S12</f>
        <v>0</v>
      </c>
      <c r="V12" s="200">
        <f>L11</f>
        <v>3.3404009391240543</v>
      </c>
      <c r="W12" s="200">
        <f>V12-T12</f>
        <v>3.0596768168432207</v>
      </c>
      <c r="X12" s="205">
        <f>W12*S12</f>
        <v>0</v>
      </c>
      <c r="Y12" s="205">
        <f>X12*S12</f>
        <v>0</v>
      </c>
      <c r="Z12" s="205">
        <f>($H$4/$H$6)+($H$5/$H$6)*(S12/20)</f>
        <v>0.5912615980641549</v>
      </c>
      <c r="AA12" s="205">
        <f>W12*Z12</f>
        <v>1.8090694042865691</v>
      </c>
      <c r="AB12" s="205">
        <f>T12+AA12</f>
        <v>2.0897935265674028</v>
      </c>
      <c r="AC12" s="216">
        <f>AB12*S12</f>
        <v>0</v>
      </c>
    </row>
    <row r="13" spans="1:29" x14ac:dyDescent="0.35">
      <c r="A13" s="215">
        <v>2</v>
      </c>
      <c r="B13" s="200">
        <v>-0.85</v>
      </c>
      <c r="C13" s="205">
        <f t="shared" si="2"/>
        <v>-0.85</v>
      </c>
      <c r="D13" s="205">
        <f t="shared" si="3"/>
        <v>8.15</v>
      </c>
      <c r="E13" s="205">
        <f t="shared" si="4"/>
        <v>9.3174516591669523</v>
      </c>
      <c r="F13" s="200">
        <f t="shared" si="5"/>
        <v>10.15</v>
      </c>
      <c r="G13" s="200">
        <f>'Curvas de Bojean'!C64*(D13/$B$5)^4+'Curvas de Bojean'!D64*(D13/$B$5)^3+'Curvas de Bojean'!E64*(D13/$B$5)^2+'Curvas de Bojean'!F64*(D13/$B$5)</f>
        <v>0.19167747240397071</v>
      </c>
      <c r="H13" s="200">
        <f>'Curvas de Bojean'!$C64*(E13/$B$5)^4+'Curvas de Bojean'!$D64*(E13/$B$5)^3+'Curvas de Bojean'!$E64*(E13/$B$5)^2+'Curvas de Bojean'!$F64*(E13/$B$5)</f>
        <v>0.23789974144498252</v>
      </c>
      <c r="I13" s="200">
        <f>'Curvas de Bojean'!$C64*(F13/$B$5)^4+'Curvas de Bojean'!$D64*(F13/$B$5)^3+'Curvas de Bojean'!$E64*(F13/$B$5)^2+'Curvas de Bojean'!$F64*(F13/$B$5)</f>
        <v>0.27459368310195353</v>
      </c>
      <c r="J13" s="200">
        <f t="shared" si="6"/>
        <v>67.895148408756654</v>
      </c>
      <c r="K13" s="200">
        <f t="shared" si="0"/>
        <v>84.267796571159934</v>
      </c>
      <c r="L13" s="200">
        <f t="shared" si="1"/>
        <v>97.265362655773515</v>
      </c>
      <c r="M13" s="216">
        <v>8</v>
      </c>
      <c r="O13" s="204" t="s">
        <v>488</v>
      </c>
      <c r="P13" s="200">
        <f>1.025*E6*(SUM(AB13:AB31)+AB12/2+AB32/2)</f>
        <v>38070.462447529841</v>
      </c>
      <c r="R13" s="215">
        <v>1</v>
      </c>
      <c r="S13" s="205">
        <v>1</v>
      </c>
      <c r="T13" s="200">
        <f t="shared" ref="T13:T32" si="7">J12</f>
        <v>25.716922242274233</v>
      </c>
      <c r="U13" s="205">
        <f>T13*S13</f>
        <v>25.716922242274233</v>
      </c>
      <c r="V13" s="200">
        <f t="shared" ref="V13:V32" si="8">L12</f>
        <v>41.202417274366191</v>
      </c>
      <c r="W13" s="205">
        <f t="shared" ref="W13:W31" si="9">V13-T13</f>
        <v>15.485495032091958</v>
      </c>
      <c r="X13" s="205">
        <f>W13*S13</f>
        <v>15.485495032091958</v>
      </c>
      <c r="Y13" s="205">
        <f t="shared" ref="Y13:Y31" si="10">X13*S13</f>
        <v>15.485495032091958</v>
      </c>
      <c r="Z13" s="205">
        <f t="shared" ref="Z13:Z32" si="11">($H$4/$H$6)+($H$5/$H$6)*(S13/20)</f>
        <v>0.58749371382381543</v>
      </c>
      <c r="AA13" s="205">
        <f t="shared" ref="AA13:AA31" si="12">W13*Z13</f>
        <v>9.0976309868039476</v>
      </c>
      <c r="AB13" s="205">
        <f t="shared" ref="AB13:AB31" si="13">T13+AA13</f>
        <v>34.814553229078179</v>
      </c>
      <c r="AC13" s="216">
        <f t="shared" ref="AC13:AC31" si="14">AB13*S13</f>
        <v>34.814553229078179</v>
      </c>
    </row>
    <row r="14" spans="1:29" x14ac:dyDescent="0.35">
      <c r="A14" s="215">
        <v>3</v>
      </c>
      <c r="B14" s="200">
        <v>-0.68</v>
      </c>
      <c r="C14" s="205">
        <f t="shared" si="2"/>
        <v>-0.68</v>
      </c>
      <c r="D14" s="205">
        <f t="shared" si="3"/>
        <v>8.32</v>
      </c>
      <c r="E14" s="205">
        <f t="shared" si="4"/>
        <v>9.4799158906862733</v>
      </c>
      <c r="F14" s="200">
        <f t="shared" si="5"/>
        <v>10.32</v>
      </c>
      <c r="G14" s="200">
        <f>'Curvas de Bojean'!C65*(D14/$B$5)^4+'Curvas de Bojean'!D65*(D14/$B$5)^3+'Curvas de Bojean'!E65*(D14/$B$5)^2+'Curvas de Bojean'!F65*(D14/$B$5)</f>
        <v>0.32331725718827259</v>
      </c>
      <c r="H14" s="200">
        <f>'Curvas de Bojean'!$C65*(E14/$B$5)^4+'Curvas de Bojean'!$D65*(E14/$B$5)^3+'Curvas de Bojean'!$E65*(E14/$B$5)^2+'Curvas de Bojean'!$F65*(E14/$B$5)</f>
        <v>0.38784628816027855</v>
      </c>
      <c r="I14" s="200">
        <f>'Curvas de Bojean'!$C65*(F14/$B$5)^4+'Curvas de Bojean'!$D65*(F14/$B$5)^3+'Curvas de Bojean'!$E65*(F14/$B$5)^2+'Curvas de Bojean'!$F65*(F14/$B$5)</f>
        <v>0.43733626801805026</v>
      </c>
      <c r="J14" s="200">
        <f t="shared" si="6"/>
        <v>114.52401205315128</v>
      </c>
      <c r="K14" s="200">
        <f t="shared" si="0"/>
        <v>137.38120063963245</v>
      </c>
      <c r="L14" s="200">
        <f t="shared" si="1"/>
        <v>154.91132290725153</v>
      </c>
      <c r="M14" s="216">
        <v>8</v>
      </c>
      <c r="O14" s="204" t="s">
        <v>484</v>
      </c>
      <c r="P14" s="200">
        <f>'SW Buoyancy Ballast'!N14</f>
        <v>38070.465518607059</v>
      </c>
      <c r="R14" s="215">
        <v>2</v>
      </c>
      <c r="S14" s="205">
        <v>2</v>
      </c>
      <c r="T14" s="200">
        <f t="shared" si="7"/>
        <v>67.895148408756654</v>
      </c>
      <c r="U14" s="205">
        <f t="shared" ref="U14:U31" si="15">T14*S14</f>
        <v>135.79029681751331</v>
      </c>
      <c r="V14" s="200">
        <f t="shared" si="8"/>
        <v>97.265362655773515</v>
      </c>
      <c r="W14" s="205">
        <f t="shared" si="9"/>
        <v>29.370214247016861</v>
      </c>
      <c r="X14" s="205">
        <f t="shared" ref="X14:X31" si="16">W14*S14</f>
        <v>58.740428494033722</v>
      </c>
      <c r="Y14" s="205">
        <f t="shared" si="10"/>
        <v>117.48085698806744</v>
      </c>
      <c r="Z14" s="205">
        <f t="shared" si="11"/>
        <v>0.58372582958347596</v>
      </c>
      <c r="AA14" s="205">
        <f t="shared" si="12"/>
        <v>17.144152676384341</v>
      </c>
      <c r="AB14" s="205">
        <f t="shared" si="13"/>
        <v>85.039301085140991</v>
      </c>
      <c r="AC14" s="216">
        <f t="shared" si="14"/>
        <v>170.07860217028198</v>
      </c>
    </row>
    <row r="15" spans="1:29" x14ac:dyDescent="0.35">
      <c r="A15" s="215">
        <v>4</v>
      </c>
      <c r="B15" s="200">
        <v>-0.44</v>
      </c>
      <c r="C15" s="205">
        <f>B15</f>
        <v>-0.44</v>
      </c>
      <c r="D15" s="205">
        <f t="shared" si="3"/>
        <v>8.56</v>
      </c>
      <c r="E15" s="205">
        <f t="shared" si="4"/>
        <v>9.7123801222055945</v>
      </c>
      <c r="F15" s="200">
        <f t="shared" si="5"/>
        <v>10.56</v>
      </c>
      <c r="G15" s="200">
        <f>'Curvas de Bojean'!C66*(D15/$B$5)^4+'Curvas de Bojean'!D66*(D15/$B$5)^3+'Curvas de Bojean'!E66*(D15/$B$5)^2+'Curvas de Bojean'!F66*(D15/$B$5)</f>
        <v>0.45100986067880433</v>
      </c>
      <c r="H15" s="200">
        <f>'Curvas de Bojean'!$C66*(E15/$B$5)^4+'Curvas de Bojean'!$D66*(E15/$B$5)^3+'Curvas de Bojean'!$E66*(E15/$B$5)^2+'Curvas de Bojean'!$F66*(E15/$B$5)</f>
        <v>0.52736890387746493</v>
      </c>
      <c r="I15" s="200">
        <f>'Curvas de Bojean'!$C66*(F15/$B$5)^4+'Curvas de Bojean'!$D66*(F15/$B$5)^3+'Curvas de Bojean'!$E66*(F15/$B$5)^2+'Curvas de Bojean'!$F66*(F15/$B$5)</f>
        <v>0.58505155850963253</v>
      </c>
      <c r="J15" s="200">
        <f t="shared" si="6"/>
        <v>159.75472255844366</v>
      </c>
      <c r="K15" s="200">
        <f t="shared" si="0"/>
        <v>186.80228587040816</v>
      </c>
      <c r="L15" s="200">
        <f t="shared" si="1"/>
        <v>207.23438124261813</v>
      </c>
      <c r="M15" s="216">
        <v>8</v>
      </c>
      <c r="O15" s="204" t="s">
        <v>95</v>
      </c>
      <c r="P15" s="200">
        <f>ABS(P13-P14)</f>
        <v>3.0710772189195268E-3</v>
      </c>
      <c r="R15" s="215">
        <v>3</v>
      </c>
      <c r="S15" s="205">
        <v>3</v>
      </c>
      <c r="T15" s="200">
        <f t="shared" si="7"/>
        <v>114.52401205315128</v>
      </c>
      <c r="U15" s="205">
        <f t="shared" si="15"/>
        <v>343.57203615945383</v>
      </c>
      <c r="V15" s="200">
        <f t="shared" si="8"/>
        <v>154.91132290725153</v>
      </c>
      <c r="W15" s="205">
        <f t="shared" si="9"/>
        <v>40.387310854100249</v>
      </c>
      <c r="X15" s="205">
        <f t="shared" si="16"/>
        <v>121.16193256230075</v>
      </c>
      <c r="Y15" s="205">
        <f t="shared" si="10"/>
        <v>363.48579768690223</v>
      </c>
      <c r="Z15" s="205">
        <f t="shared" si="11"/>
        <v>0.57995794534313649</v>
      </c>
      <c r="AA15" s="205">
        <f t="shared" si="12"/>
        <v>23.422941820878535</v>
      </c>
      <c r="AB15" s="205">
        <f>T15+AA15</f>
        <v>137.94695387402982</v>
      </c>
      <c r="AC15" s="216">
        <f t="shared" si="14"/>
        <v>413.84086162208945</v>
      </c>
    </row>
    <row r="16" spans="1:29" x14ac:dyDescent="0.35">
      <c r="A16" s="215">
        <v>5</v>
      </c>
      <c r="B16" s="200">
        <v>-0.15</v>
      </c>
      <c r="C16" s="205">
        <f t="shared" si="2"/>
        <v>-0.15</v>
      </c>
      <c r="D16" s="205">
        <f t="shared" si="3"/>
        <v>8.85</v>
      </c>
      <c r="E16" s="205">
        <f t="shared" si="4"/>
        <v>9.9948443537249148</v>
      </c>
      <c r="F16" s="200">
        <f t="shared" si="5"/>
        <v>10.85</v>
      </c>
      <c r="G16" s="200">
        <f>'Curvas de Bojean'!C67*(D16/$B$5)^4+'Curvas de Bojean'!D67*(D16/$B$5)^3+'Curvas de Bojean'!E67*(D16/$B$5)^2+'Curvas de Bojean'!F67*(D16/$B$5)</f>
        <v>0.55875953969205439</v>
      </c>
      <c r="H16" s="200">
        <f>'Curvas de Bojean'!$C67*(E16/$B$5)^4+'Curvas de Bojean'!$D67*(E16/$B$5)^3+'Curvas de Bojean'!$E67*(E16/$B$5)^2+'Curvas de Bojean'!$F67*(E16/$B$5)</f>
        <v>0.64076567551793784</v>
      </c>
      <c r="I16" s="200">
        <f>'Curvas de Bojean'!$C67*(F16/$B$5)^4+'Curvas de Bojean'!$D67*(F16/$B$5)^3+'Curvas de Bojean'!$E67*(F16/$B$5)^2+'Curvas de Bojean'!$F67*(F16/$B$5)</f>
        <v>0.70252181258215984</v>
      </c>
      <c r="J16" s="200">
        <f t="shared" si="6"/>
        <v>197.92133836284196</v>
      </c>
      <c r="K16" s="200">
        <f t="shared" si="0"/>
        <v>226.9691899047933</v>
      </c>
      <c r="L16" s="200">
        <f t="shared" si="1"/>
        <v>248.84417624794591</v>
      </c>
      <c r="M16" s="216">
        <v>8</v>
      </c>
      <c r="O16" s="204" t="s">
        <v>514</v>
      </c>
      <c r="P16" s="223">
        <f>P15/P14</f>
        <v>8.0668233946824946E-8</v>
      </c>
      <c r="R16" s="215">
        <v>4</v>
      </c>
      <c r="S16" s="205">
        <v>4</v>
      </c>
      <c r="T16" s="200">
        <f t="shared" si="7"/>
        <v>159.75472255844366</v>
      </c>
      <c r="U16" s="205">
        <f t="shared" si="15"/>
        <v>639.01889023377464</v>
      </c>
      <c r="V16" s="200">
        <f t="shared" si="8"/>
        <v>207.23438124261813</v>
      </c>
      <c r="W16" s="205">
        <f t="shared" si="9"/>
        <v>47.479658684174467</v>
      </c>
      <c r="X16" s="205">
        <f t="shared" si="16"/>
        <v>189.91863473669787</v>
      </c>
      <c r="Y16" s="205">
        <f t="shared" si="10"/>
        <v>759.67453894679147</v>
      </c>
      <c r="Z16" s="205">
        <f t="shared" si="11"/>
        <v>0.57619006110279702</v>
      </c>
      <c r="AA16" s="205">
        <f t="shared" si="12"/>
        <v>27.357307438374434</v>
      </c>
      <c r="AB16" s="205">
        <f t="shared" si="13"/>
        <v>187.11202999681808</v>
      </c>
      <c r="AC16" s="216">
        <f t="shared" si="14"/>
        <v>748.44811998727232</v>
      </c>
    </row>
    <row r="17" spans="1:29" x14ac:dyDescent="0.35">
      <c r="A17" s="215">
        <v>6</v>
      </c>
      <c r="B17" s="200">
        <v>0.16</v>
      </c>
      <c r="C17" s="205">
        <f t="shared" si="2"/>
        <v>0.16</v>
      </c>
      <c r="D17" s="205">
        <f t="shared" si="3"/>
        <v>9.16</v>
      </c>
      <c r="E17" s="205">
        <f t="shared" si="4"/>
        <v>10.297308585244236</v>
      </c>
      <c r="F17" s="200">
        <f t="shared" si="5"/>
        <v>11.16</v>
      </c>
      <c r="G17" s="200">
        <f>'Curvas de Bojean'!C68*(D17/$B$5)^4+'Curvas de Bojean'!D68*(D17/$B$5)^3+'Curvas de Bojean'!E68*(D17/$B$5)^2+'Curvas de Bojean'!F68*(D17/$B$5)</f>
        <v>0.63580376421329654</v>
      </c>
      <c r="H17" s="200">
        <f>'Curvas de Bojean'!$C68*(E17/$B$5)^4+'Curvas de Bojean'!$D68*(E17/$B$5)^3+'Curvas de Bojean'!$E68*(E17/$B$5)^2+'Curvas de Bojean'!$F68*(E17/$B$5)</f>
        <v>0.71890458889354014</v>
      </c>
      <c r="I17" s="200">
        <f>'Curvas de Bojean'!$C68*(F17/$B$5)^4+'Curvas de Bojean'!$D68*(F17/$B$5)^3+'Curvas de Bojean'!$E68*(F17/$B$5)^2+'Curvas de Bojean'!$F68*(F17/$B$5)</f>
        <v>0.78195896430324197</v>
      </c>
      <c r="J17" s="200">
        <f t="shared" si="6"/>
        <v>225.21160357920937</v>
      </c>
      <c r="K17" s="200">
        <f t="shared" si="0"/>
        <v>254.64721097632739</v>
      </c>
      <c r="L17" s="200">
        <f t="shared" si="1"/>
        <v>276.98205357713414</v>
      </c>
      <c r="M17" s="216">
        <v>8</v>
      </c>
      <c r="P17" s="21"/>
      <c r="R17" s="215">
        <v>5</v>
      </c>
      <c r="S17" s="205">
        <v>5</v>
      </c>
      <c r="T17" s="200">
        <f t="shared" si="7"/>
        <v>197.92133836284196</v>
      </c>
      <c r="U17" s="205">
        <f t="shared" si="15"/>
        <v>989.60669181420985</v>
      </c>
      <c r="V17" s="200">
        <f t="shared" si="8"/>
        <v>248.84417624794591</v>
      </c>
      <c r="W17" s="205">
        <f t="shared" si="9"/>
        <v>50.922837885103945</v>
      </c>
      <c r="X17" s="205">
        <f t="shared" si="16"/>
        <v>254.61418942551973</v>
      </c>
      <c r="Y17" s="205">
        <f t="shared" si="10"/>
        <v>1273.0709471275986</v>
      </c>
      <c r="Z17" s="205">
        <f t="shared" si="11"/>
        <v>0.57242217686245767</v>
      </c>
      <c r="AA17" s="205">
        <f t="shared" si="12"/>
        <v>29.149361714205231</v>
      </c>
      <c r="AB17" s="205">
        <f t="shared" si="13"/>
        <v>227.07070007704721</v>
      </c>
      <c r="AC17" s="216">
        <f t="shared" si="14"/>
        <v>1135.353500385236</v>
      </c>
    </row>
    <row r="18" spans="1:29" x14ac:dyDescent="0.35">
      <c r="A18" s="215">
        <v>7</v>
      </c>
      <c r="B18" s="200">
        <v>0.47</v>
      </c>
      <c r="C18" s="205">
        <f t="shared" si="2"/>
        <v>0.47</v>
      </c>
      <c r="D18" s="205">
        <f t="shared" si="3"/>
        <v>9.4700000000000006</v>
      </c>
      <c r="E18" s="205">
        <f t="shared" si="4"/>
        <v>10.599772816763558</v>
      </c>
      <c r="F18" s="200">
        <f t="shared" si="5"/>
        <v>11.47</v>
      </c>
      <c r="G18" s="200">
        <f>'Curvas de Bojean'!C69*(D18/$B$5)^4+'Curvas de Bojean'!D69*(D18/$B$5)^3+'Curvas de Bojean'!E69*(D18/$B$5)^2+'Curvas de Bojean'!F69*(D18/$B$5)</f>
        <v>0.68273571816010814</v>
      </c>
      <c r="H18" s="200">
        <f>'Curvas de Bojean'!$C69*(E18/$B$5)^4+'Curvas de Bojean'!$D69*(E18/$B$5)^3+'Curvas de Bojean'!$E69*(E18/$B$5)^2+'Curvas de Bojean'!$F69*(E18/$B$5)</f>
        <v>0.76558316152644124</v>
      </c>
      <c r="I18" s="200">
        <f>'Curvas de Bojean'!$C69*(F18/$B$5)^4+'Curvas de Bojean'!$D69*(F18/$B$5)^3+'Curvas de Bojean'!$E69*(F18/$B$5)^2+'Curvas de Bojean'!$F69*(F18/$B$5)</f>
        <v>0.82938848236116991</v>
      </c>
      <c r="J18" s="200">
        <f t="shared" si="6"/>
        <v>241.83563319712965</v>
      </c>
      <c r="K18" s="200">
        <f t="shared" si="0"/>
        <v>271.18148898339746</v>
      </c>
      <c r="L18" s="200">
        <f t="shared" si="1"/>
        <v>293.78232815876049</v>
      </c>
      <c r="M18" s="216">
        <v>8</v>
      </c>
      <c r="P18" s="21"/>
      <c r="R18" s="215">
        <v>6</v>
      </c>
      <c r="S18" s="205">
        <v>6</v>
      </c>
      <c r="T18" s="200">
        <f t="shared" si="7"/>
        <v>225.21160357920937</v>
      </c>
      <c r="U18" s="205">
        <f t="shared" si="15"/>
        <v>1351.2696214752561</v>
      </c>
      <c r="V18" s="200">
        <f t="shared" si="8"/>
        <v>276.98205357713414</v>
      </c>
      <c r="W18" s="205">
        <f t="shared" si="9"/>
        <v>51.770449997924771</v>
      </c>
      <c r="X18" s="205">
        <f t="shared" si="16"/>
        <v>310.62269998754863</v>
      </c>
      <c r="Y18" s="205">
        <f t="shared" si="10"/>
        <v>1863.7361999252917</v>
      </c>
      <c r="Z18" s="205">
        <f t="shared" si="11"/>
        <v>0.5686542926221182</v>
      </c>
      <c r="AA18" s="205">
        <f t="shared" si="12"/>
        <v>29.439488622298651</v>
      </c>
      <c r="AB18" s="205">
        <f t="shared" si="13"/>
        <v>254.65109220150802</v>
      </c>
      <c r="AC18" s="216">
        <f t="shared" si="14"/>
        <v>1527.9065532090481</v>
      </c>
    </row>
    <row r="19" spans="1:29" x14ac:dyDescent="0.35">
      <c r="A19" s="215">
        <v>8</v>
      </c>
      <c r="B19" s="200">
        <v>0.74</v>
      </c>
      <c r="C19" s="205">
        <f t="shared" si="2"/>
        <v>0.74</v>
      </c>
      <c r="D19" s="205">
        <f t="shared" si="3"/>
        <v>9.74</v>
      </c>
      <c r="E19" s="205">
        <f t="shared" si="4"/>
        <v>10.862237048282879</v>
      </c>
      <c r="F19" s="200">
        <f t="shared" si="5"/>
        <v>11.74</v>
      </c>
      <c r="G19" s="200">
        <f>'Curvas de Bojean'!C70*(D19/$B$5)^4+'Curvas de Bojean'!D70*(D19/$B$5)^3+'Curvas de Bojean'!E70*(D19/$B$5)^2+'Curvas de Bojean'!F70*(D19/$B$5)</f>
        <v>0.70839596347303602</v>
      </c>
      <c r="H19" s="200">
        <f>'Curvas de Bojean'!$C70*(E19/$B$5)^4+'Curvas de Bojean'!$D70*(E19/$B$5)^3+'Curvas de Bojean'!$E70*(E19/$B$5)^2+'Curvas de Bojean'!$F70*(E19/$B$5)</f>
        <v>0.79058885446306482</v>
      </c>
      <c r="I19" s="200">
        <f>'Curvas de Bojean'!$C70*(F19/$B$5)^4+'Curvas de Bojean'!$D70*(F19/$B$5)^3+'Curvas de Bojean'!$E70*(F19/$B$5)^2+'Curvas de Bojean'!$F70*(F19/$B$5)</f>
        <v>0.85493565470583777</v>
      </c>
      <c r="J19" s="200">
        <f t="shared" si="6"/>
        <v>250.92489205408361</v>
      </c>
      <c r="K19" s="200">
        <f t="shared" si="0"/>
        <v>280.03889518613431</v>
      </c>
      <c r="L19" s="200">
        <f t="shared" si="1"/>
        <v>302.83153480788457</v>
      </c>
      <c r="M19" s="216">
        <v>8</v>
      </c>
      <c r="O19" s="204" t="s">
        <v>1</v>
      </c>
      <c r="P19" s="200">
        <f>E6*((SUM(AC12:AC32))/(SUM(AB12:AB32)))-B6/2</f>
        <v>2.6511761655840189</v>
      </c>
      <c r="R19" s="215">
        <v>7</v>
      </c>
      <c r="S19" s="205">
        <v>7</v>
      </c>
      <c r="T19" s="200">
        <f t="shared" si="7"/>
        <v>241.83563319712965</v>
      </c>
      <c r="U19" s="205">
        <f t="shared" si="15"/>
        <v>1692.8494323799075</v>
      </c>
      <c r="V19" s="200">
        <f t="shared" si="8"/>
        <v>293.78232815876049</v>
      </c>
      <c r="W19" s="205">
        <f t="shared" si="9"/>
        <v>51.94669496163084</v>
      </c>
      <c r="X19" s="205">
        <f t="shared" si="16"/>
        <v>363.62686473141588</v>
      </c>
      <c r="Y19" s="205">
        <f t="shared" si="10"/>
        <v>2545.3880531199111</v>
      </c>
      <c r="Z19" s="205">
        <f t="shared" si="11"/>
        <v>0.56488640838177873</v>
      </c>
      <c r="AA19" s="205">
        <f t="shared" si="12"/>
        <v>29.343981944179486</v>
      </c>
      <c r="AB19" s="205">
        <f t="shared" si="13"/>
        <v>271.17961514130911</v>
      </c>
      <c r="AC19" s="216">
        <f t="shared" si="14"/>
        <v>1898.2573059891638</v>
      </c>
    </row>
    <row r="20" spans="1:29" x14ac:dyDescent="0.35">
      <c r="A20" s="215">
        <v>9</v>
      </c>
      <c r="B20" s="200">
        <v>0.93</v>
      </c>
      <c r="C20" s="205">
        <f t="shared" si="2"/>
        <v>0.93</v>
      </c>
      <c r="D20" s="205">
        <f t="shared" si="3"/>
        <v>9.93</v>
      </c>
      <c r="E20" s="205">
        <f t="shared" si="4"/>
        <v>11.044701279802199</v>
      </c>
      <c r="F20" s="200">
        <f t="shared" si="5"/>
        <v>11.93</v>
      </c>
      <c r="G20" s="200">
        <f>'Curvas de Bojean'!C71*(D20/$B$5)^4+'Curvas de Bojean'!D71*(D20/$B$5)^3+'Curvas de Bojean'!E71*(D20/$B$5)^2+'Curvas de Bojean'!F71*(D20/$B$5)</f>
        <v>0.72258183951170463</v>
      </c>
      <c r="H20" s="200">
        <f>'Curvas de Bojean'!$C71*(E20/$B$5)^4+'Curvas de Bojean'!$D71*(E20/$B$5)^3+'Curvas de Bojean'!$E71*(E20/$B$5)^2+'Curvas de Bojean'!$F71*(E20/$B$5)</f>
        <v>0.80421032783731339</v>
      </c>
      <c r="I20" s="200">
        <f>'Curvas de Bojean'!$C71*(F20/$B$5)^4+'Curvas de Bojean'!$D71*(F20/$B$5)^3+'Curvas de Bojean'!$E71*(F20/$B$5)^2+'Curvas de Bojean'!$F71*(F20/$B$5)</f>
        <v>0.86914740204312135</v>
      </c>
      <c r="J20" s="200">
        <f t="shared" si="6"/>
        <v>255.94975046271151</v>
      </c>
      <c r="K20" s="200">
        <f t="shared" si="0"/>
        <v>284.86383337366112</v>
      </c>
      <c r="L20" s="200">
        <f t="shared" si="1"/>
        <v>307.86555723373868</v>
      </c>
      <c r="M20" s="216">
        <v>8</v>
      </c>
      <c r="O20" s="204" t="s">
        <v>515</v>
      </c>
      <c r="P20" s="200">
        <f>'SW Buoyancy Ballast'!N20</f>
        <v>2.651176164769995</v>
      </c>
      <c r="R20" s="215">
        <v>8</v>
      </c>
      <c r="S20" s="205">
        <v>8</v>
      </c>
      <c r="T20" s="200">
        <f t="shared" si="7"/>
        <v>250.92489205408361</v>
      </c>
      <c r="U20" s="205">
        <f t="shared" si="15"/>
        <v>2007.3991364326689</v>
      </c>
      <c r="V20" s="200">
        <f t="shared" si="8"/>
        <v>302.83153480788457</v>
      </c>
      <c r="W20" s="205">
        <f t="shared" si="9"/>
        <v>51.906642753800952</v>
      </c>
      <c r="X20" s="205">
        <f t="shared" si="16"/>
        <v>415.25314203040762</v>
      </c>
      <c r="Y20" s="205">
        <f t="shared" si="10"/>
        <v>3322.0251362432609</v>
      </c>
      <c r="Z20" s="205">
        <f t="shared" si="11"/>
        <v>0.56111852414143926</v>
      </c>
      <c r="AA20" s="205">
        <f t="shared" si="12"/>
        <v>29.125778775149723</v>
      </c>
      <c r="AB20" s="205">
        <f t="shared" si="13"/>
        <v>280.05067082923335</v>
      </c>
      <c r="AC20" s="216">
        <f t="shared" si="14"/>
        <v>2240.4053666338668</v>
      </c>
    </row>
    <row r="21" spans="1:29" x14ac:dyDescent="0.35">
      <c r="A21" s="215">
        <v>10</v>
      </c>
      <c r="B21" s="200">
        <v>1</v>
      </c>
      <c r="C21" s="205">
        <f t="shared" si="2"/>
        <v>1</v>
      </c>
      <c r="D21" s="205">
        <f t="shared" si="3"/>
        <v>10</v>
      </c>
      <c r="E21" s="205">
        <f t="shared" si="4"/>
        <v>11.10716551132152</v>
      </c>
      <c r="F21" s="200">
        <f t="shared" si="5"/>
        <v>12</v>
      </c>
      <c r="G21" s="200">
        <f>'Curvas de Bojean'!C72*(D21/$B$5)^4+'Curvas de Bojean'!D72*(D21/$B$5)^3+'Curvas de Bojean'!E72*(D21/$B$5)^2+'Curvas de Bojean'!F72*(D21/$B$5)</f>
        <v>0.7279724429570742</v>
      </c>
      <c r="H21" s="200">
        <f>'Curvas de Bojean'!$C72*(E21/$B$5)^4+'Curvas de Bojean'!$D72*(E21/$B$5)^3+'Curvas de Bojean'!$E72*(E21/$B$5)^2+'Curvas de Bojean'!$F72*(E21/$B$5)</f>
        <v>0.80904295222784162</v>
      </c>
      <c r="I21" s="200">
        <f>'Curvas de Bojean'!$C72*(F21/$B$5)^4+'Curvas de Bojean'!$D72*(F21/$B$5)^3+'Curvas de Bojean'!$E72*(F21/$B$5)^2+'Curvas de Bojean'!$F72*(F21/$B$5)</f>
        <v>0.87454806175292288</v>
      </c>
      <c r="J21" s="200">
        <f t="shared" si="6"/>
        <v>257.85918622658033</v>
      </c>
      <c r="K21" s="200">
        <f t="shared" si="0"/>
        <v>286.57562425906667</v>
      </c>
      <c r="L21" s="200">
        <f t="shared" si="1"/>
        <v>309.77855508321665</v>
      </c>
      <c r="M21" s="216">
        <v>8</v>
      </c>
      <c r="O21" s="204" t="s">
        <v>516</v>
      </c>
      <c r="P21" s="200">
        <f>(P19-P20)</f>
        <v>8.1402395935015193E-10</v>
      </c>
      <c r="R21" s="215">
        <v>9</v>
      </c>
      <c r="S21" s="205">
        <v>9</v>
      </c>
      <c r="T21" s="200">
        <f t="shared" si="7"/>
        <v>255.94975046271151</v>
      </c>
      <c r="U21" s="205">
        <f t="shared" si="15"/>
        <v>2303.5477541644036</v>
      </c>
      <c r="V21" s="200">
        <f t="shared" si="8"/>
        <v>307.86555723373868</v>
      </c>
      <c r="W21" s="205">
        <f t="shared" si="9"/>
        <v>51.915806771027178</v>
      </c>
      <c r="X21" s="205">
        <f t="shared" si="16"/>
        <v>467.2422609392446</v>
      </c>
      <c r="Y21" s="205">
        <f t="shared" si="10"/>
        <v>4205.1803484532011</v>
      </c>
      <c r="Z21" s="205">
        <f t="shared" si="11"/>
        <v>0.55735063990109979</v>
      </c>
      <c r="AA21" s="205">
        <f t="shared" si="12"/>
        <v>28.935308124813847</v>
      </c>
      <c r="AB21" s="205">
        <f t="shared" si="13"/>
        <v>284.88505858752535</v>
      </c>
      <c r="AC21" s="216">
        <f t="shared" si="14"/>
        <v>2563.965527287728</v>
      </c>
    </row>
    <row r="22" spans="1:29" x14ac:dyDescent="0.35">
      <c r="A22" s="215">
        <v>11</v>
      </c>
      <c r="B22" s="200">
        <v>0.93</v>
      </c>
      <c r="C22" s="205">
        <f t="shared" si="2"/>
        <v>0.93</v>
      </c>
      <c r="D22" s="205">
        <f t="shared" si="3"/>
        <v>9.93</v>
      </c>
      <c r="E22" s="205">
        <f t="shared" si="4"/>
        <v>11.029629742840841</v>
      </c>
      <c r="F22" s="200">
        <f t="shared" si="5"/>
        <v>11.93</v>
      </c>
      <c r="G22" s="200">
        <f>'Curvas de Bojean'!C73*(D22/$B$5)^4+'Curvas de Bojean'!D73*(D22/$B$5)^3+'Curvas de Bojean'!E73*(D22/$B$5)^2+'Curvas de Bojean'!F73*(D22/$B$5)</f>
        <v>0.72310856790307199</v>
      </c>
      <c r="H22" s="200">
        <f>'Curvas de Bojean'!$C73*(E22/$B$5)^4+'Curvas de Bojean'!$D73*(E22/$B$5)^3+'Curvas de Bojean'!$E73*(E22/$B$5)^2+'Curvas de Bojean'!$F73*(E22/$B$5)</f>
        <v>0.80362071952044012</v>
      </c>
      <c r="I22" s="200">
        <f>'Curvas de Bojean'!$C73*(F22/$B$5)^4+'Curvas de Bojean'!$D73*(F22/$B$5)^3+'Curvas de Bojean'!$E73*(F22/$B$5)^2+'Curvas de Bojean'!$F73*(F22/$B$5)</f>
        <v>0.86965728845433676</v>
      </c>
      <c r="J22" s="200">
        <f t="shared" si="6"/>
        <v>256.13632586906715</v>
      </c>
      <c r="K22" s="200">
        <f t="shared" si="0"/>
        <v>284.65498491757972</v>
      </c>
      <c r="L22" s="200">
        <f t="shared" si="1"/>
        <v>308.046166948208</v>
      </c>
      <c r="M22" s="216">
        <v>8</v>
      </c>
      <c r="O22" s="204" t="s">
        <v>514</v>
      </c>
      <c r="P22" s="223">
        <f>ABS(P21/P20)</f>
        <v>3.0704257610914865E-10</v>
      </c>
      <c r="R22" s="215">
        <v>10</v>
      </c>
      <c r="S22" s="205">
        <v>10</v>
      </c>
      <c r="T22" s="200">
        <f t="shared" si="7"/>
        <v>257.85918622658033</v>
      </c>
      <c r="U22" s="205">
        <f t="shared" si="15"/>
        <v>2578.5918622658032</v>
      </c>
      <c r="V22" s="200">
        <f t="shared" si="8"/>
        <v>309.77855508321665</v>
      </c>
      <c r="W22" s="205">
        <f t="shared" si="9"/>
        <v>51.919368856636311</v>
      </c>
      <c r="X22" s="205">
        <f t="shared" si="16"/>
        <v>519.19368856636311</v>
      </c>
      <c r="Y22" s="205">
        <f t="shared" si="10"/>
        <v>5191.9368856636311</v>
      </c>
      <c r="Z22" s="205">
        <f t="shared" si="11"/>
        <v>0.55358275566076032</v>
      </c>
      <c r="AA22" s="205">
        <f t="shared" si="12"/>
        <v>28.741667283824189</v>
      </c>
      <c r="AB22" s="205">
        <f t="shared" si="13"/>
        <v>286.60085351040453</v>
      </c>
      <c r="AC22" s="216">
        <f t="shared" si="14"/>
        <v>2866.0085351040452</v>
      </c>
    </row>
    <row r="23" spans="1:29" x14ac:dyDescent="0.35">
      <c r="A23" s="215">
        <v>12</v>
      </c>
      <c r="B23" s="200">
        <v>0.74</v>
      </c>
      <c r="C23" s="205">
        <f t="shared" si="2"/>
        <v>0.74</v>
      </c>
      <c r="D23" s="205">
        <f t="shared" si="3"/>
        <v>9.74</v>
      </c>
      <c r="E23" s="205">
        <f t="shared" si="4"/>
        <v>10.832093974360163</v>
      </c>
      <c r="F23" s="200">
        <f t="shared" si="5"/>
        <v>11.74</v>
      </c>
      <c r="G23" s="200">
        <f>'Curvas de Bojean'!C74*(D23/$B$5)^4+'Curvas de Bojean'!D74*(D23/$B$5)^3+'Curvas de Bojean'!E74*(D23/$B$5)^2+'Curvas de Bojean'!F74*(D23/$B$5)</f>
        <v>0.70945425200616852</v>
      </c>
      <c r="H23" s="200">
        <f>'Curvas de Bojean'!$C74*(E23/$B$5)^4+'Curvas de Bojean'!$D74*(E23/$B$5)^3+'Curvas de Bojean'!$E74*(E23/$B$5)^2+'Curvas de Bojean'!$F74*(E23/$B$5)</f>
        <v>0.78941378404059626</v>
      </c>
      <c r="I23" s="200">
        <f>'Curvas de Bojean'!$C74*(F23/$B$5)^4+'Curvas de Bojean'!$D74*(F23/$B$5)^3+'Curvas de Bojean'!$E74*(F23/$B$5)^2+'Curvas de Bojean'!$F74*(F23/$B$5)</f>
        <v>0.85595600999027421</v>
      </c>
      <c r="J23" s="200">
        <f t="shared" si="6"/>
        <v>251.29975434809845</v>
      </c>
      <c r="K23" s="200">
        <f t="shared" si="0"/>
        <v>279.62266692663337</v>
      </c>
      <c r="L23" s="200">
        <f t="shared" si="1"/>
        <v>303.19296055394443</v>
      </c>
      <c r="M23" s="216">
        <v>8</v>
      </c>
      <c r="P23" s="21"/>
      <c r="R23" s="215">
        <v>11</v>
      </c>
      <c r="S23" s="205">
        <v>11</v>
      </c>
      <c r="T23" s="200">
        <f t="shared" si="7"/>
        <v>256.13632586906715</v>
      </c>
      <c r="U23" s="205">
        <f t="shared" si="15"/>
        <v>2817.4995845597387</v>
      </c>
      <c r="V23" s="200">
        <f t="shared" si="8"/>
        <v>308.046166948208</v>
      </c>
      <c r="W23" s="205">
        <f t="shared" si="9"/>
        <v>51.909841079140847</v>
      </c>
      <c r="X23" s="205">
        <f t="shared" si="16"/>
        <v>571.00825187054932</v>
      </c>
      <c r="Y23" s="205">
        <f t="shared" si="10"/>
        <v>6281.0907705760428</v>
      </c>
      <c r="Z23" s="205">
        <f t="shared" si="11"/>
        <v>0.54981487142042085</v>
      </c>
      <c r="AA23" s="205">
        <f t="shared" si="12"/>
        <v>28.540802598382307</v>
      </c>
      <c r="AB23" s="205">
        <f t="shared" si="13"/>
        <v>284.67712846744945</v>
      </c>
      <c r="AC23" s="216">
        <f t="shared" si="14"/>
        <v>3131.448413141944</v>
      </c>
    </row>
    <row r="24" spans="1:29" x14ac:dyDescent="0.35">
      <c r="A24" s="215">
        <v>13</v>
      </c>
      <c r="B24" s="200">
        <v>0.47</v>
      </c>
      <c r="C24" s="205">
        <f t="shared" si="2"/>
        <v>0.47</v>
      </c>
      <c r="D24" s="205">
        <f t="shared" si="3"/>
        <v>9.4700000000000006</v>
      </c>
      <c r="E24" s="205">
        <f t="shared" si="4"/>
        <v>10.554558205879484</v>
      </c>
      <c r="F24" s="200">
        <f t="shared" si="5"/>
        <v>11.47</v>
      </c>
      <c r="G24" s="200">
        <f>'Curvas de Bojean'!C75*(D24/$B$5)^4+'Curvas de Bojean'!D75*(D24/$B$5)^3+'Curvas de Bojean'!E75*(D24/$B$5)^2+'Curvas de Bojean'!F75*(D24/$B$5)</f>
        <v>0.68717838297492506</v>
      </c>
      <c r="H24" s="200">
        <f>'Curvas de Bojean'!$C75*(E24/$B$5)^4+'Curvas de Bojean'!$D75*(E24/$B$5)^3+'Curvas de Bojean'!$E75*(E24/$B$5)^2+'Curvas de Bojean'!$F75*(E24/$B$5)</f>
        <v>0.76662303495235573</v>
      </c>
      <c r="I24" s="200">
        <f>'Curvas de Bojean'!$C75*(F24/$B$5)^4+'Curvas de Bojean'!$D75*(F24/$B$5)^3+'Curvas de Bojean'!$E75*(F24/$B$5)^2+'Curvas de Bojean'!$F75*(F24/$B$5)</f>
        <v>0.83368173255231082</v>
      </c>
      <c r="J24" s="200">
        <f t="shared" si="6"/>
        <v>243.4092943225051</v>
      </c>
      <c r="K24" s="200">
        <f t="shared" si="0"/>
        <v>271.54982835939876</v>
      </c>
      <c r="L24" s="200">
        <f t="shared" si="1"/>
        <v>295.3030642954991</v>
      </c>
      <c r="M24" s="216">
        <v>8</v>
      </c>
      <c r="P24" s="21"/>
      <c r="R24" s="215">
        <v>12</v>
      </c>
      <c r="S24" s="205">
        <v>12</v>
      </c>
      <c r="T24" s="200">
        <f t="shared" si="7"/>
        <v>251.29975434809845</v>
      </c>
      <c r="U24" s="205">
        <f t="shared" si="15"/>
        <v>3015.5970521771815</v>
      </c>
      <c r="V24" s="200">
        <f t="shared" si="8"/>
        <v>303.19296055394443</v>
      </c>
      <c r="W24" s="205">
        <f t="shared" si="9"/>
        <v>51.893206205845985</v>
      </c>
      <c r="X24" s="205">
        <f t="shared" si="16"/>
        <v>622.71847447015182</v>
      </c>
      <c r="Y24" s="205">
        <f t="shared" si="10"/>
        <v>7472.6216936418223</v>
      </c>
      <c r="Z24" s="205">
        <f t="shared" si="11"/>
        <v>0.54604698718008149</v>
      </c>
      <c r="AA24" s="205">
        <f t="shared" si="12"/>
        <v>28.336128903816906</v>
      </c>
      <c r="AB24" s="205">
        <f t="shared" si="13"/>
        <v>279.63588325191535</v>
      </c>
      <c r="AC24" s="216">
        <f t="shared" si="14"/>
        <v>3355.6305990229839</v>
      </c>
    </row>
    <row r="25" spans="1:29" x14ac:dyDescent="0.35">
      <c r="A25" s="215">
        <v>14</v>
      </c>
      <c r="B25" s="200">
        <v>0.16</v>
      </c>
      <c r="C25" s="205">
        <f t="shared" si="2"/>
        <v>0.16</v>
      </c>
      <c r="D25" s="205">
        <f t="shared" si="3"/>
        <v>9.16</v>
      </c>
      <c r="E25" s="205">
        <f t="shared" si="4"/>
        <v>10.237022437398805</v>
      </c>
      <c r="F25" s="200">
        <f t="shared" si="5"/>
        <v>11.16</v>
      </c>
      <c r="G25" s="200">
        <f>'Curvas de Bojean'!C76*(D25/$B$5)^4+'Curvas de Bojean'!D76*(D25/$B$5)^3+'Curvas de Bojean'!E76*(D25/$B$5)^2+'Curvas de Bojean'!F76*(D25/$B$5)</f>
        <v>0.65480004309697493</v>
      </c>
      <c r="H25" s="200">
        <f>'Curvas de Bojean'!$C76*(E25/$B$5)^4+'Curvas de Bojean'!$D76*(E25/$B$5)^3+'Curvas de Bojean'!$E76*(E25/$B$5)^2+'Curvas de Bojean'!$F76*(E25/$B$5)</f>
        <v>0.73337460446547476</v>
      </c>
      <c r="I25" s="200">
        <f>'Curvas de Bojean'!$C76*(F25/$B$5)^4+'Curvas de Bojean'!$D76*(F25/$B$5)^3+'Curvas de Bojean'!$E76*(F25/$B$5)^2+'Curvas de Bojean'!$F76*(F25/$B$5)</f>
        <v>0.80069298092210806</v>
      </c>
      <c r="J25" s="200">
        <f t="shared" si="6"/>
        <v>231.94038165545217</v>
      </c>
      <c r="K25" s="200">
        <f t="shared" si="0"/>
        <v>259.77271603653065</v>
      </c>
      <c r="L25" s="200">
        <f t="shared" si="1"/>
        <v>283.61793427128958</v>
      </c>
      <c r="M25" s="216">
        <v>8</v>
      </c>
      <c r="O25" s="204" t="s">
        <v>517</v>
      </c>
      <c r="P25" s="200">
        <f>E11-E31</f>
        <v>0.15071536961357879</v>
      </c>
      <c r="R25" s="215">
        <v>13</v>
      </c>
      <c r="S25" s="205">
        <v>13</v>
      </c>
      <c r="T25" s="200">
        <f t="shared" si="7"/>
        <v>243.4092943225051</v>
      </c>
      <c r="U25" s="205">
        <f t="shared" si="15"/>
        <v>3164.3208261925665</v>
      </c>
      <c r="V25" s="200">
        <f t="shared" si="8"/>
        <v>295.3030642954991</v>
      </c>
      <c r="W25" s="205">
        <f t="shared" si="9"/>
        <v>51.893769972993994</v>
      </c>
      <c r="X25" s="205">
        <f t="shared" si="16"/>
        <v>674.61900964892197</v>
      </c>
      <c r="Y25" s="205">
        <f t="shared" si="10"/>
        <v>8770.0471254359854</v>
      </c>
      <c r="Z25" s="205">
        <f t="shared" si="11"/>
        <v>0.54227910293974202</v>
      </c>
      <c r="AA25" s="205">
        <f t="shared" si="12"/>
        <v>28.140907029116502</v>
      </c>
      <c r="AB25" s="205">
        <f t="shared" si="13"/>
        <v>271.55020135162158</v>
      </c>
      <c r="AC25" s="216">
        <f t="shared" si="14"/>
        <v>3530.1526175710806</v>
      </c>
    </row>
    <row r="26" spans="1:29" x14ac:dyDescent="0.35">
      <c r="A26" s="215">
        <v>15</v>
      </c>
      <c r="B26" s="200">
        <v>-0.15</v>
      </c>
      <c r="C26" s="205">
        <f t="shared" si="2"/>
        <v>-0.15</v>
      </c>
      <c r="D26" s="205">
        <f t="shared" si="3"/>
        <v>8.85</v>
      </c>
      <c r="E26" s="205">
        <f t="shared" si="4"/>
        <v>9.9194866689181254</v>
      </c>
      <c r="F26" s="200">
        <f t="shared" si="5"/>
        <v>10.85</v>
      </c>
      <c r="G26" s="200">
        <f>'Curvas de Bojean'!C77*(D26/$B$5)^4+'Curvas de Bojean'!D77*(D26/$B$5)^3+'Curvas de Bojean'!E77*(D26/$B$5)^2+'Curvas de Bojean'!F77*(D26/$B$5)</f>
        <v>0.60778385106799138</v>
      </c>
      <c r="H26" s="200">
        <f>'Curvas de Bojean'!$C77*(E26/$B$5)^4+'Curvas de Bojean'!$D77*(E26/$B$5)^3+'Curvas de Bojean'!$E77*(E26/$B$5)^2+'Curvas de Bojean'!$F77*(E26/$B$5)</f>
        <v>0.68460290405888724</v>
      </c>
      <c r="I26" s="200">
        <f>'Curvas de Bojean'!$C77*(F26/$B$5)^4+'Curvas de Bojean'!$D77*(F26/$B$5)^3+'Curvas de Bojean'!$E77*(F26/$B$5)^2+'Curvas de Bojean'!$F77*(F26/$B$5)</f>
        <v>0.75149498277735305</v>
      </c>
      <c r="J26" s="200">
        <f t="shared" si="6"/>
        <v>215.28651359580473</v>
      </c>
      <c r="K26" s="200">
        <f t="shared" si="0"/>
        <v>242.4970195463672</v>
      </c>
      <c r="L26" s="200">
        <f t="shared" si="1"/>
        <v>266.19123647754992</v>
      </c>
      <c r="M26" s="216">
        <v>8</v>
      </c>
      <c r="R26" s="215">
        <v>14</v>
      </c>
      <c r="S26" s="205">
        <v>14</v>
      </c>
      <c r="T26" s="200">
        <f t="shared" si="7"/>
        <v>231.94038165545217</v>
      </c>
      <c r="U26" s="205">
        <f t="shared" si="15"/>
        <v>3247.1653431763302</v>
      </c>
      <c r="V26" s="200">
        <f t="shared" si="8"/>
        <v>283.61793427128958</v>
      </c>
      <c r="W26" s="205">
        <f t="shared" si="9"/>
        <v>51.677552615837413</v>
      </c>
      <c r="X26" s="205">
        <f t="shared" si="16"/>
        <v>723.48573662172385</v>
      </c>
      <c r="Y26" s="205">
        <f t="shared" si="10"/>
        <v>10128.800312704134</v>
      </c>
      <c r="Z26" s="205">
        <f t="shared" si="11"/>
        <v>0.53851121869940255</v>
      </c>
      <c r="AA26" s="205">
        <f t="shared" si="12"/>
        <v>27.828941838557103</v>
      </c>
      <c r="AB26" s="205">
        <f t="shared" si="13"/>
        <v>259.76932349400926</v>
      </c>
      <c r="AC26" s="216">
        <f t="shared" si="14"/>
        <v>3636.7705289161295</v>
      </c>
    </row>
    <row r="27" spans="1:29" x14ac:dyDescent="0.35">
      <c r="A27" s="215">
        <v>16</v>
      </c>
      <c r="B27" s="200">
        <v>-0.44</v>
      </c>
      <c r="C27" s="205">
        <f t="shared" si="2"/>
        <v>-0.44</v>
      </c>
      <c r="D27" s="205">
        <f t="shared" si="3"/>
        <v>8.56</v>
      </c>
      <c r="E27" s="205">
        <f t="shared" si="4"/>
        <v>9.6219509004374473</v>
      </c>
      <c r="F27" s="200">
        <f t="shared" si="5"/>
        <v>10.56</v>
      </c>
      <c r="G27" s="200">
        <f>'Curvas de Bojean'!C78*(D27/$B$5)^4+'Curvas de Bojean'!D78*(D27/$B$5)^3+'Curvas de Bojean'!E78*(D27/$B$5)^2+'Curvas de Bojean'!F78*(D27/$B$5)</f>
        <v>0.53453666107763587</v>
      </c>
      <c r="H27" s="200">
        <f>'Curvas de Bojean'!$C78*(E27/$B$5)^4+'Curvas de Bojean'!$D78*(E27/$B$5)^3+'Curvas de Bojean'!$E78*(E27/$B$5)^2+'Curvas de Bojean'!$F78*(E27/$B$5)</f>
        <v>0.60643949738026248</v>
      </c>
      <c r="I27" s="200">
        <f>'Curvas de Bojean'!$C78*(F27/$B$5)^4+'Curvas de Bojean'!$D78*(F27/$B$5)^3+'Curvas de Bojean'!$E78*(F27/$B$5)^2+'Curvas de Bojean'!$F78*(F27/$B$5)</f>
        <v>0.67017567092997243</v>
      </c>
      <c r="J27" s="200">
        <f t="shared" si="6"/>
        <v>189.34121719478352</v>
      </c>
      <c r="K27" s="200">
        <f t="shared" si="0"/>
        <v>214.81032256512461</v>
      </c>
      <c r="L27" s="200">
        <f t="shared" si="6"/>
        <v>237.38666869433297</v>
      </c>
      <c r="M27" s="216">
        <v>8</v>
      </c>
      <c r="R27" s="215">
        <v>15</v>
      </c>
      <c r="S27" s="205">
        <v>15</v>
      </c>
      <c r="T27" s="200">
        <f t="shared" si="7"/>
        <v>215.28651359580473</v>
      </c>
      <c r="U27" s="205">
        <f t="shared" si="15"/>
        <v>3229.2977039370712</v>
      </c>
      <c r="V27" s="200">
        <f t="shared" si="8"/>
        <v>266.19123647754992</v>
      </c>
      <c r="W27" s="205">
        <f t="shared" si="9"/>
        <v>50.904722881745187</v>
      </c>
      <c r="X27" s="205">
        <f t="shared" si="16"/>
        <v>763.57084322617777</v>
      </c>
      <c r="Y27" s="205">
        <f t="shared" si="10"/>
        <v>11453.562648392666</v>
      </c>
      <c r="Z27" s="205">
        <f t="shared" si="11"/>
        <v>0.53474333445906308</v>
      </c>
      <c r="AA27" s="205">
        <f t="shared" si="12"/>
        <v>27.220961253498988</v>
      </c>
      <c r="AB27" s="205">
        <f t="shared" si="13"/>
        <v>242.50747484930372</v>
      </c>
      <c r="AC27" s="216">
        <f t="shared" si="14"/>
        <v>3637.6121227395556</v>
      </c>
    </row>
    <row r="28" spans="1:29" x14ac:dyDescent="0.35">
      <c r="A28" s="215">
        <v>17</v>
      </c>
      <c r="B28" s="200">
        <v>-0.68</v>
      </c>
      <c r="C28" s="205">
        <f t="shared" si="2"/>
        <v>-0.68</v>
      </c>
      <c r="D28" s="205">
        <f t="shared" si="3"/>
        <v>8.32</v>
      </c>
      <c r="E28" s="205">
        <f t="shared" si="4"/>
        <v>9.3744151319567681</v>
      </c>
      <c r="F28" s="200">
        <f t="shared" si="5"/>
        <v>10.32</v>
      </c>
      <c r="G28" s="200">
        <f>'Curvas de Bojean'!C79*(D28/$B$5)^4+'Curvas de Bojean'!D79*(D28/$B$5)^3+'Curvas de Bojean'!E79*(D28/$B$5)^2+'Curvas de Bojean'!F79*(D28/$B$5)</f>
        <v>0.43308143663283444</v>
      </c>
      <c r="H28" s="200">
        <f>'Curvas de Bojean'!$C79*(E28/$B$5)^4+'Curvas de Bojean'!$D79*(E28/$B$5)^3+'Curvas de Bojean'!$E79*(E28/$B$5)^2+'Curvas de Bojean'!$F79*(E28/$B$5)</f>
        <v>0.49510920697267713</v>
      </c>
      <c r="I28" s="200">
        <f>'Curvas de Bojean'!$C79*(F28/$B$5)^4+'Curvas de Bojean'!$D79*(F28/$B$5)^3+'Curvas de Bojean'!$E79*(F28/$B$5)^2+'Curvas de Bojean'!$F79*(F28/$B$5)</f>
        <v>0.55113158101950399</v>
      </c>
      <c r="J28" s="200">
        <f t="shared" si="6"/>
        <v>153.40419531040683</v>
      </c>
      <c r="K28" s="200">
        <f t="shared" si="0"/>
        <v>175.37539839374136</v>
      </c>
      <c r="L28" s="200">
        <f t="shared" si="6"/>
        <v>195.21939650377379</v>
      </c>
      <c r="M28" s="216">
        <v>8</v>
      </c>
      <c r="R28" s="215">
        <v>16</v>
      </c>
      <c r="S28" s="205">
        <v>16</v>
      </c>
      <c r="T28" s="200">
        <f t="shared" si="7"/>
        <v>189.34121719478352</v>
      </c>
      <c r="U28" s="205">
        <f t="shared" si="15"/>
        <v>3029.4594751165364</v>
      </c>
      <c r="V28" s="200">
        <f t="shared" si="8"/>
        <v>237.38666869433297</v>
      </c>
      <c r="W28" s="205">
        <f t="shared" si="9"/>
        <v>48.045451499549443</v>
      </c>
      <c r="X28" s="205">
        <f t="shared" si="16"/>
        <v>768.7272239927911</v>
      </c>
      <c r="Y28" s="205">
        <f t="shared" si="10"/>
        <v>12299.635583884658</v>
      </c>
      <c r="Z28" s="205">
        <f t="shared" si="11"/>
        <v>0.53097545021872361</v>
      </c>
      <c r="AA28" s="205">
        <f t="shared" si="12"/>
        <v>25.510955240935115</v>
      </c>
      <c r="AB28" s="205">
        <f t="shared" si="13"/>
        <v>214.85217243571864</v>
      </c>
      <c r="AC28" s="216">
        <f t="shared" si="14"/>
        <v>3437.6347589714983</v>
      </c>
    </row>
    <row r="29" spans="1:29" x14ac:dyDescent="0.35">
      <c r="A29" s="215">
        <v>18</v>
      </c>
      <c r="B29" s="200">
        <v>-0.85</v>
      </c>
      <c r="C29" s="205">
        <f t="shared" si="2"/>
        <v>-0.85</v>
      </c>
      <c r="D29" s="205">
        <f t="shared" si="3"/>
        <v>8.15</v>
      </c>
      <c r="E29" s="205">
        <f t="shared" si="4"/>
        <v>9.1968793634760893</v>
      </c>
      <c r="F29" s="200">
        <f t="shared" si="5"/>
        <v>10.15</v>
      </c>
      <c r="G29" s="200">
        <f>'Curvas de Bojean'!C80*(D29/$B$5)^4+'Curvas de Bojean'!D80*(D29/$B$5)^3+'Curvas de Bojean'!E80*(D29/$B$5)^2+'Curvas de Bojean'!F80*(D29/$B$5)</f>
        <v>0.31277902492871862</v>
      </c>
      <c r="H29" s="200">
        <f>'Curvas de Bojean'!$C80*(E29/$B$5)^4+'Curvas de Bojean'!$D80*(E29/$B$5)^3+'Curvas de Bojean'!$E80*(E29/$B$5)^2+'Curvas de Bojean'!$F80*(E29/$B$5)</f>
        <v>0.35897122057805109</v>
      </c>
      <c r="I29" s="200">
        <f>'Curvas de Bojean'!$C80*(F29/$B$5)^4+'Curvas de Bojean'!$D80*(F29/$B$5)^3+'Curvas de Bojean'!$E80*(F29/$B$5)^2+'Curvas de Bojean'!$F80*(F29/$B$5)</f>
        <v>0.40141662819993207</v>
      </c>
      <c r="J29" s="200">
        <f t="shared" si="6"/>
        <v>110.79120592703323</v>
      </c>
      <c r="K29" s="200">
        <f t="shared" si="0"/>
        <v>127.15320162534871</v>
      </c>
      <c r="L29" s="200">
        <f t="shared" si="6"/>
        <v>142.18802660302867</v>
      </c>
      <c r="M29" s="216">
        <v>8</v>
      </c>
      <c r="R29" s="215">
        <v>17</v>
      </c>
      <c r="S29" s="205">
        <v>17</v>
      </c>
      <c r="T29" s="200">
        <f t="shared" si="7"/>
        <v>153.40419531040683</v>
      </c>
      <c r="U29" s="205">
        <f t="shared" si="15"/>
        <v>2607.8713202769163</v>
      </c>
      <c r="V29" s="200">
        <f t="shared" si="8"/>
        <v>195.21939650377379</v>
      </c>
      <c r="W29" s="205">
        <f t="shared" si="9"/>
        <v>41.81520119336696</v>
      </c>
      <c r="X29" s="205">
        <f t="shared" si="16"/>
        <v>710.85842028723835</v>
      </c>
      <c r="Y29" s="205">
        <f t="shared" si="10"/>
        <v>12084.593144883052</v>
      </c>
      <c r="Z29" s="205">
        <f t="shared" si="11"/>
        <v>0.52720756597838414</v>
      </c>
      <c r="AA29" s="205">
        <f t="shared" si="12"/>
        <v>22.045290442051417</v>
      </c>
      <c r="AB29" s="205">
        <f t="shared" si="13"/>
        <v>175.44948575245826</v>
      </c>
      <c r="AC29" s="216">
        <f t="shared" si="14"/>
        <v>2982.6412577917904</v>
      </c>
    </row>
    <row r="30" spans="1:29" x14ac:dyDescent="0.35">
      <c r="A30" s="215">
        <v>19</v>
      </c>
      <c r="B30" s="200">
        <v>-0.96</v>
      </c>
      <c r="C30" s="205">
        <f t="shared" si="2"/>
        <v>-0.96</v>
      </c>
      <c r="D30" s="205">
        <f t="shared" si="3"/>
        <v>8.0399999999999991</v>
      </c>
      <c r="E30" s="205">
        <f t="shared" si="4"/>
        <v>9.0793435949954091</v>
      </c>
      <c r="F30" s="200">
        <f t="shared" si="5"/>
        <v>10.039999999999999</v>
      </c>
      <c r="G30" s="200">
        <f>'Curvas de Bojean'!C81*(D30/$B$5)^4+'Curvas de Bojean'!D81*(D30/$B$5)^3+'Curvas de Bojean'!E81*(D30/$B$5)^2+'Curvas de Bojean'!F81*(D30/$B$5)</f>
        <v>0.16262079436925819</v>
      </c>
      <c r="H30" s="200">
        <f>'Curvas de Bojean'!$C81*(E30/$B$5)^4+'Curvas de Bojean'!$D81*(E30/$B$5)^3+'Curvas de Bojean'!$E81*(E30/$B$5)^2+'Curvas de Bojean'!$F81*(E30/$B$5)</f>
        <v>0.18718425356823024</v>
      </c>
      <c r="I30" s="200">
        <f>'Curvas de Bojean'!$C81*(F30/$B$5)^4+'Curvas de Bojean'!$D81*(F30/$B$5)^3+'Curvas de Bojean'!$E81*(F30/$B$5)^2+'Curvas de Bojean'!$F81*(F30/$B$5)</f>
        <v>0.21020578349058083</v>
      </c>
      <c r="J30" s="200">
        <f t="shared" si="6"/>
        <v>57.602820141434421</v>
      </c>
      <c r="K30" s="200">
        <f t="shared" si="0"/>
        <v>66.30358026118283</v>
      </c>
      <c r="L30" s="200">
        <f t="shared" si="6"/>
        <v>74.458164997047945</v>
      </c>
      <c r="M30" s="216">
        <v>8</v>
      </c>
      <c r="R30" s="215">
        <v>18</v>
      </c>
      <c r="S30" s="205">
        <v>18</v>
      </c>
      <c r="T30" s="200">
        <f t="shared" si="7"/>
        <v>110.79120592703323</v>
      </c>
      <c r="U30" s="205">
        <f t="shared" si="15"/>
        <v>1994.2417066865983</v>
      </c>
      <c r="V30" s="200">
        <f t="shared" si="8"/>
        <v>142.18802660302867</v>
      </c>
      <c r="W30" s="205">
        <f t="shared" si="9"/>
        <v>31.396820675995443</v>
      </c>
      <c r="X30" s="205">
        <f t="shared" si="16"/>
        <v>565.142772167918</v>
      </c>
      <c r="Y30" s="205">
        <f t="shared" si="10"/>
        <v>10172.569899022525</v>
      </c>
      <c r="Z30" s="205">
        <f t="shared" si="11"/>
        <v>0.52343968173804467</v>
      </c>
      <c r="AA30" s="205">
        <f t="shared" si="12"/>
        <v>16.434341822229516</v>
      </c>
      <c r="AB30" s="205">
        <f t="shared" si="13"/>
        <v>127.22554774926274</v>
      </c>
      <c r="AC30" s="216">
        <f t="shared" si="14"/>
        <v>2290.0598594867292</v>
      </c>
    </row>
    <row r="31" spans="1:29" ht="15" thickBot="1" x14ac:dyDescent="0.4">
      <c r="A31" s="225">
        <v>20</v>
      </c>
      <c r="B31" s="227">
        <v>-1</v>
      </c>
      <c r="C31" s="226">
        <f t="shared" si="2"/>
        <v>-1</v>
      </c>
      <c r="D31" s="226">
        <f t="shared" si="3"/>
        <v>8</v>
      </c>
      <c r="E31" s="205">
        <f t="shared" si="4"/>
        <v>9.031807826514731</v>
      </c>
      <c r="F31" s="227">
        <f t="shared" si="5"/>
        <v>10</v>
      </c>
      <c r="G31" s="200">
        <f>'Curvas de Bojean'!C82*(D31/$B$5)^4+'Curvas de Bojean'!D82*(D31/$B$5)^3+'Curvas de Bojean'!E82*(D31/$B$5)^2+'Curvas de Bojean'!F82*(D31/$B$5)</f>
        <v>-2.912918663878581E-4</v>
      </c>
      <c r="H31" s="200">
        <f>'Curvas de Bojean'!$C82*(E31/$B$5)^4+'Curvas de Bojean'!$D82*(E31/$B$5)^3+'Curvas de Bojean'!$E82*(E31/$B$5)^2+'Curvas de Bojean'!$F82*(E31/$B$5)</f>
        <v>-3.057092460252717E-4</v>
      </c>
      <c r="I31" s="200">
        <f>'Curvas de Bojean'!$C82*(F31/$B$5)^4+'Curvas de Bojean'!$D82*(F31/$B$5)^3+'Curvas de Bojean'!$E82*(F31/$B$5)^2+'Curvas de Bojean'!$F82*(F31/$B$5)</f>
        <v>-3.0141001646886642E-5</v>
      </c>
      <c r="J31" s="200">
        <f t="shared" si="6"/>
        <v>-0.10318011945079072</v>
      </c>
      <c r="K31" s="200">
        <f>IF(($K$7)*H31&lt;0,0,($K$7)*H31)</f>
        <v>0</v>
      </c>
      <c r="L31" s="200">
        <f t="shared" si="6"/>
        <v>-1.0676412592143272E-2</v>
      </c>
      <c r="M31" s="216">
        <v>8</v>
      </c>
      <c r="R31" s="215">
        <v>19</v>
      </c>
      <c r="S31" s="205">
        <v>19</v>
      </c>
      <c r="T31" s="200">
        <f t="shared" si="7"/>
        <v>57.602820141434421</v>
      </c>
      <c r="U31" s="205">
        <f t="shared" si="15"/>
        <v>1094.4535826872541</v>
      </c>
      <c r="V31" s="200">
        <f t="shared" si="8"/>
        <v>74.458164997047945</v>
      </c>
      <c r="W31" s="205">
        <f t="shared" si="9"/>
        <v>16.855344855613524</v>
      </c>
      <c r="X31" s="205">
        <f t="shared" si="16"/>
        <v>320.25155225665696</v>
      </c>
      <c r="Y31" s="205">
        <f t="shared" si="10"/>
        <v>6084.7794928764824</v>
      </c>
      <c r="Z31" s="205">
        <f t="shared" si="11"/>
        <v>0.5196717974977052</v>
      </c>
      <c r="AA31" s="205">
        <f t="shared" si="12"/>
        <v>8.7592473585603781</v>
      </c>
      <c r="AB31" s="205">
        <f t="shared" si="13"/>
        <v>66.362067499994794</v>
      </c>
      <c r="AC31" s="216">
        <f t="shared" si="14"/>
        <v>1260.8792824999011</v>
      </c>
    </row>
    <row r="32" spans="1:29" ht="15" thickBot="1" x14ac:dyDescent="0.4">
      <c r="G32" t="b" cm="1">
        <f t="array" ref="G32">SUMPRODUCT(--(G11:G31 &gt; H11:H31)) &gt; 0</f>
        <v>1</v>
      </c>
      <c r="K32" t="b" cm="1">
        <f t="array" ref="K32">SUMPRODUCT(--(K11:K31 &gt; L11:L31)) &gt; 0</f>
        <v>1</v>
      </c>
      <c r="R32" s="225">
        <v>20</v>
      </c>
      <c r="S32" s="226">
        <v>20</v>
      </c>
      <c r="T32" s="200">
        <f t="shared" si="7"/>
        <v>-0.10318011945079072</v>
      </c>
      <c r="U32" s="226">
        <f>T32*S32</f>
        <v>-2.0636023890158146</v>
      </c>
      <c r="V32" s="200">
        <f t="shared" si="8"/>
        <v>-1.0676412592143272E-2</v>
      </c>
      <c r="W32" s="226">
        <f>V32-T32</f>
        <v>9.250370685864745E-2</v>
      </c>
      <c r="X32" s="226">
        <f>W32*S32</f>
        <v>1.850074137172949</v>
      </c>
      <c r="Y32" s="226">
        <f>X32*S32</f>
        <v>37.001482743458979</v>
      </c>
      <c r="Z32" s="226">
        <f t="shared" si="11"/>
        <v>0.51590391325736573</v>
      </c>
      <c r="AA32" s="226">
        <f>W32*Z32</f>
        <v>4.7723024359188439E-2</v>
      </c>
      <c r="AB32" s="226">
        <f>T32+AA32</f>
        <v>-5.5457095091602286E-2</v>
      </c>
      <c r="AC32" s="228">
        <f>AB32*S32</f>
        <v>-1.1091419018320456</v>
      </c>
    </row>
    <row r="33" spans="7:11" x14ac:dyDescent="0.35">
      <c r="G33" t="s">
        <v>527</v>
      </c>
      <c r="K33" t="s">
        <v>526</v>
      </c>
    </row>
    <row r="34" spans="7:11" x14ac:dyDescent="0.35">
      <c r="K34" s="236"/>
    </row>
  </sheetData>
  <mergeCells count="1">
    <mergeCell ref="A1:E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85A-B24C-442D-800C-B469504E73AF}">
  <dimension ref="A1:AC33"/>
  <sheetViews>
    <sheetView topLeftCell="I25" zoomScale="55" zoomScaleNormal="55" workbookViewId="0">
      <selection activeCell="F28" sqref="F28"/>
    </sheetView>
  </sheetViews>
  <sheetFormatPr defaultRowHeight="14.5" x14ac:dyDescent="0.35"/>
  <cols>
    <col min="6" max="7" width="12.54296875" bestFit="1" customWidth="1"/>
    <col min="12" max="13" width="14.54296875" bestFit="1" customWidth="1"/>
  </cols>
  <sheetData>
    <row r="1" spans="1:29" x14ac:dyDescent="0.35">
      <c r="B1" s="381" t="s">
        <v>528</v>
      </c>
      <c r="C1" s="381"/>
      <c r="D1" s="381"/>
      <c r="E1" s="381"/>
      <c r="F1" s="381"/>
      <c r="G1" s="381"/>
      <c r="H1" s="381"/>
      <c r="I1" s="381"/>
      <c r="J1" s="381"/>
      <c r="K1" s="381"/>
      <c r="L1" s="381"/>
    </row>
    <row r="2" spans="1:29" x14ac:dyDescent="0.35"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</row>
    <row r="4" spans="1:29" x14ac:dyDescent="0.35">
      <c r="B4" s="383" t="s">
        <v>477</v>
      </c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5"/>
      <c r="Q4" s="383" t="s">
        <v>529</v>
      </c>
      <c r="R4" s="384"/>
      <c r="S4" s="384"/>
      <c r="T4" s="384"/>
      <c r="U4" s="384"/>
      <c r="V4" s="384"/>
      <c r="W4" s="384"/>
      <c r="X4" s="384"/>
      <c r="Y4" s="384"/>
      <c r="Z4" s="384"/>
      <c r="AA4" s="384"/>
      <c r="AB4" s="385"/>
    </row>
    <row r="5" spans="1:29" x14ac:dyDescent="0.35">
      <c r="A5" s="241" t="s">
        <v>530</v>
      </c>
      <c r="B5" s="241" t="s">
        <v>501</v>
      </c>
      <c r="C5" s="241" t="s">
        <v>531</v>
      </c>
      <c r="D5" s="241" t="s">
        <v>532</v>
      </c>
      <c r="E5" s="241" t="s">
        <v>533</v>
      </c>
      <c r="F5" s="241" t="s">
        <v>534</v>
      </c>
      <c r="G5" s="241" t="s">
        <v>535</v>
      </c>
      <c r="H5" s="241" t="s">
        <v>536</v>
      </c>
      <c r="I5" s="241" t="s">
        <v>537</v>
      </c>
      <c r="J5" s="241" t="s">
        <v>538</v>
      </c>
      <c r="K5" s="241" t="s">
        <v>539</v>
      </c>
      <c r="L5" s="241" t="s">
        <v>540</v>
      </c>
      <c r="M5" s="241" t="s">
        <v>541</v>
      </c>
      <c r="P5" s="241" t="s">
        <v>530</v>
      </c>
      <c r="Q5" s="241" t="s">
        <v>501</v>
      </c>
      <c r="R5" s="241" t="s">
        <v>531</v>
      </c>
      <c r="S5" s="241" t="s">
        <v>532</v>
      </c>
      <c r="T5" s="241" t="s">
        <v>533</v>
      </c>
      <c r="U5" s="241" t="s">
        <v>534</v>
      </c>
      <c r="V5" s="241" t="s">
        <v>535</v>
      </c>
      <c r="W5" s="241" t="s">
        <v>536</v>
      </c>
      <c r="X5" s="241" t="s">
        <v>537</v>
      </c>
      <c r="Y5" s="241" t="s">
        <v>538</v>
      </c>
      <c r="Z5" s="241" t="s">
        <v>539</v>
      </c>
      <c r="AA5" s="241" t="s">
        <v>540</v>
      </c>
      <c r="AB5" s="241" t="s">
        <v>541</v>
      </c>
    </row>
    <row r="6" spans="1:29" x14ac:dyDescent="0.35">
      <c r="A6" s="241" t="s">
        <v>2</v>
      </c>
      <c r="B6" s="241" t="s">
        <v>96</v>
      </c>
      <c r="C6" s="241" t="s">
        <v>97</v>
      </c>
      <c r="D6" s="241" t="s">
        <v>5</v>
      </c>
      <c r="E6" s="241" t="s">
        <v>98</v>
      </c>
      <c r="F6" s="241" t="s">
        <v>99</v>
      </c>
      <c r="G6" s="241" t="s">
        <v>100</v>
      </c>
      <c r="H6" s="241" t="s">
        <v>101</v>
      </c>
      <c r="I6" s="241" t="s">
        <v>102</v>
      </c>
      <c r="J6" s="241" t="s">
        <v>103</v>
      </c>
      <c r="K6" s="241" t="s">
        <v>104</v>
      </c>
      <c r="L6" s="241" t="s">
        <v>105</v>
      </c>
      <c r="M6" s="241" t="s">
        <v>106</v>
      </c>
      <c r="P6" s="241" t="s">
        <v>2</v>
      </c>
      <c r="Q6" s="241" t="s">
        <v>96</v>
      </c>
      <c r="R6" s="241" t="s">
        <v>97</v>
      </c>
      <c r="S6" s="241" t="s">
        <v>5</v>
      </c>
      <c r="T6" s="241" t="s">
        <v>98</v>
      </c>
      <c r="U6" s="241" t="s">
        <v>99</v>
      </c>
      <c r="V6" s="241" t="s">
        <v>100</v>
      </c>
      <c r="W6" s="241" t="s">
        <v>101</v>
      </c>
      <c r="X6" s="241" t="s">
        <v>102</v>
      </c>
      <c r="Y6" s="241" t="s">
        <v>103</v>
      </c>
      <c r="Z6" s="241" t="s">
        <v>104</v>
      </c>
      <c r="AA6" s="241" t="s">
        <v>105</v>
      </c>
      <c r="AB6" s="241" t="s">
        <v>106</v>
      </c>
    </row>
    <row r="7" spans="1:29" x14ac:dyDescent="0.35">
      <c r="A7" s="241">
        <v>0</v>
      </c>
      <c r="B7" s="22">
        <f>'SW Buoyancy Cargo'!I11</f>
        <v>7.9573071710691945</v>
      </c>
      <c r="C7" s="1">
        <f>B7+B8</f>
        <v>62.689156324987501</v>
      </c>
      <c r="D7" s="1">
        <f>(1/2)*$B$33*$B$32*C7</f>
        <v>300.39860096479941</v>
      </c>
      <c r="E7" s="22">
        <f ca="1">'DW + LW'!E29</f>
        <v>412.69486461084171</v>
      </c>
      <c r="F7" s="1">
        <f ca="1">E7-D7</f>
        <v>112.29626364604229</v>
      </c>
      <c r="G7" s="1">
        <v>0</v>
      </c>
      <c r="H7" s="1">
        <v>0</v>
      </c>
      <c r="I7" s="1">
        <f ca="1">-$G$27*A7/20</f>
        <v>0</v>
      </c>
      <c r="J7" s="1">
        <f ca="1">I7+G7</f>
        <v>0</v>
      </c>
      <c r="K7" s="1">
        <f>0.5*$B$32*H7</f>
        <v>0</v>
      </c>
      <c r="L7" s="1">
        <f ca="1">-$M$27*A7/20</f>
        <v>0</v>
      </c>
      <c r="M7" s="1">
        <f ca="1">K7+L7</f>
        <v>0</v>
      </c>
      <c r="N7" s="242" t="s">
        <v>158</v>
      </c>
      <c r="P7" s="241">
        <v>0</v>
      </c>
      <c r="Q7" s="22">
        <f>'SW Buoyancy Ballast'!I11</f>
        <v>4.0889651818162909</v>
      </c>
      <c r="R7" s="1">
        <f>Q7+Q8</f>
        <v>47.491749995941603</v>
      </c>
      <c r="S7" s="1">
        <f>(1/2)*$B$33*$B$32*R7</f>
        <v>227.57452951180264</v>
      </c>
      <c r="T7" s="22">
        <f>'DW + LW'!E5</f>
        <v>412.69486461084171</v>
      </c>
      <c r="U7" s="1">
        <f>T7-S7</f>
        <v>185.12033509903907</v>
      </c>
      <c r="V7" s="1">
        <v>0</v>
      </c>
      <c r="W7" s="1">
        <v>0</v>
      </c>
      <c r="X7" s="1">
        <f ca="1">-$I$27*P7/20</f>
        <v>0</v>
      </c>
      <c r="Y7" s="1">
        <f ca="1">X7+V7</f>
        <v>0</v>
      </c>
      <c r="Z7" s="1">
        <f>0.5*$B$32*W7</f>
        <v>0</v>
      </c>
      <c r="AA7" s="1">
        <f ca="1">-$M$27*P7/20</f>
        <v>0</v>
      </c>
      <c r="AB7" s="1">
        <f ca="1">Z7+AA7</f>
        <v>0</v>
      </c>
      <c r="AC7" s="242" t="s">
        <v>158</v>
      </c>
    </row>
    <row r="8" spans="1:29" x14ac:dyDescent="0.35">
      <c r="A8" s="241">
        <v>1</v>
      </c>
      <c r="B8" s="22">
        <f>'SW Buoyancy Cargo'!I12</f>
        <v>54.731849153918304</v>
      </c>
      <c r="C8" s="1">
        <f t="shared" ref="C8:C26" si="0">B8+B9</f>
        <v>171.43618661204761</v>
      </c>
      <c r="D8" s="1">
        <f t="shared" ref="D8:D27" si="1">(1/2)*$B$33*$B$32*C8</f>
        <v>821.50077672160546</v>
      </c>
      <c r="E8" s="22">
        <f ca="1">'DW + LW'!E30</f>
        <v>737.96188161475868</v>
      </c>
      <c r="F8" s="1">
        <f t="shared" ref="F8:F27" ca="1" si="2">E8-D8</f>
        <v>-83.53889510684678</v>
      </c>
      <c r="G8" s="1">
        <f ca="1">F7+G7</f>
        <v>112.29626364604229</v>
      </c>
      <c r="H8" s="1">
        <f ca="1">G7+G8+H7</f>
        <v>112.29626364604229</v>
      </c>
      <c r="I8" s="1">
        <f ca="1">-G$27*A8/20</f>
        <v>-0.94132004182443718</v>
      </c>
      <c r="J8" s="1">
        <f t="shared" ref="J8:J26" ca="1" si="3">I8+G8</f>
        <v>111.35494360421785</v>
      </c>
      <c r="K8" s="1">
        <f ca="1">0.5*$B$32*H8</f>
        <v>524.98503254524769</v>
      </c>
      <c r="L8" s="1">
        <f ca="1">-$K$27*A8/20</f>
        <v>-326.33185476625687</v>
      </c>
      <c r="M8" s="1">
        <f ca="1">K8+L8</f>
        <v>198.65317777899082</v>
      </c>
      <c r="N8" s="242" t="s">
        <v>159</v>
      </c>
      <c r="P8" s="241">
        <v>1</v>
      </c>
      <c r="Q8" s="22">
        <f>'SW Buoyancy Ballast'!I12</f>
        <v>43.402784814125312</v>
      </c>
      <c r="R8" s="1">
        <f t="shared" ref="R8:R13" si="4">Q8+Q9</f>
        <v>142.48146119017616</v>
      </c>
      <c r="S8" s="1">
        <f t="shared" ref="S8:S27" si="5">(1/2)*$B$33*$B$32*R8</f>
        <v>682.75335184067524</v>
      </c>
      <c r="T8" s="22">
        <f>'DW + LW'!E6</f>
        <v>737.96188161475868</v>
      </c>
      <c r="U8" s="1">
        <f t="shared" ref="U8:U27" si="6">T8-S8</f>
        <v>55.208529774083445</v>
      </c>
      <c r="V8" s="1">
        <f>U7+V7</f>
        <v>185.12033509903907</v>
      </c>
      <c r="W8" s="1">
        <f>V7+V8+W7</f>
        <v>185.12033509903907</v>
      </c>
      <c r="X8" s="1">
        <f>-V$27*P8/20</f>
        <v>-0.76940092102969682</v>
      </c>
      <c r="Y8" s="1">
        <f t="shared" ref="Y8:Y26" si="7">X8+V8</f>
        <v>184.35093417800937</v>
      </c>
      <c r="Z8" s="1">
        <f>0.5*$B$32*W8</f>
        <v>865.4375665880076</v>
      </c>
      <c r="AA8" s="1">
        <f>-$Z$27*P8/20</f>
        <v>-221.41685329524526</v>
      </c>
      <c r="AB8" s="1">
        <f>Z8+AA8</f>
        <v>644.02071329276237</v>
      </c>
      <c r="AC8" s="242" t="s">
        <v>159</v>
      </c>
    </row>
    <row r="9" spans="1:29" x14ac:dyDescent="0.35">
      <c r="A9" s="241">
        <v>2</v>
      </c>
      <c r="B9" s="22">
        <f>'SW Buoyancy Cargo'!I13</f>
        <v>116.7043374581293</v>
      </c>
      <c r="C9" s="1">
        <f t="shared" si="0"/>
        <v>292.14673478127918</v>
      </c>
      <c r="D9" s="1">
        <f t="shared" si="1"/>
        <v>1399.9306347300419</v>
      </c>
      <c r="E9" s="22">
        <f ca="1">'DW + LW'!E31</f>
        <v>1027.9242667418923</v>
      </c>
      <c r="F9" s="1">
        <f t="shared" ca="1" si="2"/>
        <v>-372.00636798814958</v>
      </c>
      <c r="G9" s="1">
        <f t="shared" ref="G9:G27" ca="1" si="8">F8+G8</f>
        <v>28.757368539195511</v>
      </c>
      <c r="H9" s="1">
        <f t="shared" ref="H9:H27" ca="1" si="9">G8+G9+H8</f>
        <v>253.34989583128009</v>
      </c>
      <c r="I9" s="1">
        <f t="shared" ref="I9:I27" ca="1" si="10">-G$27*A9/20</f>
        <v>-1.8826400836488744</v>
      </c>
      <c r="J9" s="1">
        <f t="shared" ca="1" si="3"/>
        <v>26.874728455546638</v>
      </c>
      <c r="K9" s="1">
        <f t="shared" ref="K9:K27" ca="1" si="11">0.5*$B$32*H9</f>
        <v>1184.4107630112344</v>
      </c>
      <c r="L9" s="1">
        <f t="shared" ref="L9:L27" ca="1" si="12">-$K$27*A9/20</f>
        <v>-652.66370953251374</v>
      </c>
      <c r="M9" s="1">
        <f t="shared" ref="M9:M26" ca="1" si="13">K9+L9</f>
        <v>531.74705347872066</v>
      </c>
      <c r="N9" s="242" t="s">
        <v>160</v>
      </c>
      <c r="P9" s="241">
        <v>2</v>
      </c>
      <c r="Q9" s="22">
        <f>'SW Buoyancy Ballast'!I13</f>
        <v>99.078676376050836</v>
      </c>
      <c r="R9" s="1">
        <f t="shared" si="4"/>
        <v>252.59893635206839</v>
      </c>
      <c r="S9" s="1">
        <f t="shared" si="5"/>
        <v>1210.4225281320676</v>
      </c>
      <c r="T9" s="22">
        <f>'DW + LW'!E7</f>
        <v>1027.9242667418923</v>
      </c>
      <c r="U9" s="1">
        <f t="shared" si="6"/>
        <v>-182.49826139017523</v>
      </c>
      <c r="V9" s="1">
        <f t="shared" ref="V9:V14" si="14">U8+V8</f>
        <v>240.32886487312251</v>
      </c>
      <c r="W9" s="1">
        <f>V8+V9+W8</f>
        <v>610.56953507120068</v>
      </c>
      <c r="X9" s="1">
        <f t="shared" ref="X9:X27" si="15">-V$27*P9/20</f>
        <v>-1.5388018420593936</v>
      </c>
      <c r="Y9" s="1">
        <f t="shared" si="7"/>
        <v>238.79006303106311</v>
      </c>
      <c r="Z9" s="1">
        <f t="shared" ref="Z9:Z27" si="16">0.5*$B$32*W9</f>
        <v>2854.412576457863</v>
      </c>
      <c r="AA9" s="1">
        <f t="shared" ref="AA9:AA27" si="17">-$Z$27*P9/20</f>
        <v>-442.83370659049052</v>
      </c>
      <c r="AB9" s="1">
        <f>Z9+AA9</f>
        <v>2411.5788698673723</v>
      </c>
      <c r="AC9" s="242" t="s">
        <v>160</v>
      </c>
    </row>
    <row r="10" spans="1:29" x14ac:dyDescent="0.35">
      <c r="A10" s="241">
        <v>3</v>
      </c>
      <c r="B10" s="22">
        <f>'SW Buoyancy Cargo'!I14</f>
        <v>175.44239732314989</v>
      </c>
      <c r="C10" s="1">
        <f t="shared" si="0"/>
        <v>399.40120214615405</v>
      </c>
      <c r="D10" s="1">
        <f t="shared" si="1"/>
        <v>1913.8806355341017</v>
      </c>
      <c r="E10" s="22">
        <f ca="1">'DW + LW'!E32</f>
        <v>981.03138333087281</v>
      </c>
      <c r="F10" s="1">
        <f t="shared" ca="1" si="2"/>
        <v>-932.84925220322884</v>
      </c>
      <c r="G10" s="1">
        <f t="shared" ca="1" si="8"/>
        <v>-343.24899944895407</v>
      </c>
      <c r="H10" s="1">
        <f ca="1">G9+G10+H9</f>
        <v>-61.141735078478462</v>
      </c>
      <c r="I10" s="1">
        <f t="shared" ca="1" si="10"/>
        <v>-2.8239601254733118</v>
      </c>
      <c r="J10" s="1">
        <f t="shared" ca="1" si="3"/>
        <v>-346.07295957442739</v>
      </c>
      <c r="K10" s="1">
        <f t="shared" ca="1" si="11"/>
        <v>-285.83761149188678</v>
      </c>
      <c r="L10" s="1">
        <f t="shared" ca="1" si="12"/>
        <v>-978.99556429877043</v>
      </c>
      <c r="M10" s="1">
        <f ca="1">K10+L10</f>
        <v>-1264.8331757906572</v>
      </c>
      <c r="N10" s="242" t="s">
        <v>161</v>
      </c>
      <c r="P10" s="241">
        <v>3</v>
      </c>
      <c r="Q10" s="22">
        <f>'SW Buoyancy Ballast'!I14</f>
        <v>153.52025997601754</v>
      </c>
      <c r="R10" s="1">
        <f t="shared" si="4"/>
        <v>353.20303742779663</v>
      </c>
      <c r="S10" s="1">
        <f t="shared" si="5"/>
        <v>1692.5048049743227</v>
      </c>
      <c r="T10" s="22">
        <f>'DW + LW'!E8</f>
        <v>981.03138333087281</v>
      </c>
      <c r="U10" s="1">
        <f t="shared" si="6"/>
        <v>-711.47342164344991</v>
      </c>
      <c r="V10" s="1">
        <f t="shared" si="14"/>
        <v>57.830603482947282</v>
      </c>
      <c r="W10" s="1">
        <f>V9+V10+W9</f>
        <v>908.72900342727053</v>
      </c>
      <c r="X10" s="1">
        <f t="shared" si="15"/>
        <v>-2.3082027630890907</v>
      </c>
      <c r="Y10" s="1">
        <f t="shared" si="7"/>
        <v>55.52240071985819</v>
      </c>
      <c r="Z10" s="1">
        <f t="shared" si="16"/>
        <v>4248.3080910224899</v>
      </c>
      <c r="AA10" s="1">
        <f t="shared" si="17"/>
        <v>-664.25055988573581</v>
      </c>
      <c r="AB10" s="1">
        <f>Z10+AA10</f>
        <v>3584.0575311367538</v>
      </c>
      <c r="AC10" s="242" t="s">
        <v>161</v>
      </c>
    </row>
    <row r="11" spans="1:29" x14ac:dyDescent="0.35">
      <c r="A11" s="241">
        <v>4</v>
      </c>
      <c r="B11" s="22">
        <f>'SW Buoyancy Cargo'!I15</f>
        <v>223.95880482300416</v>
      </c>
      <c r="C11" s="1">
        <f t="shared" si="0"/>
        <v>482.41147897301016</v>
      </c>
      <c r="D11" s="1">
        <f t="shared" si="1"/>
        <v>2311.6555058037925</v>
      </c>
      <c r="E11" s="22">
        <f ca="1">'DW + LW'!E33</f>
        <v>3003.0874752563277</v>
      </c>
      <c r="F11" s="1">
        <f t="shared" ca="1" si="2"/>
        <v>691.43196945253521</v>
      </c>
      <c r="G11" s="1">
        <f t="shared" ca="1" si="8"/>
        <v>-1276.0982516521829</v>
      </c>
      <c r="H11" s="1">
        <f ca="1">G10+G11+H10</f>
        <v>-1680.4889861796153</v>
      </c>
      <c r="I11" s="1">
        <f t="shared" ca="1" si="10"/>
        <v>-3.7652801672977487</v>
      </c>
      <c r="J11" s="1">
        <f t="shared" ca="1" si="3"/>
        <v>-1279.8635318194806</v>
      </c>
      <c r="K11" s="1">
        <f t="shared" ca="1" si="11"/>
        <v>-7856.286010389701</v>
      </c>
      <c r="L11" s="1">
        <f t="shared" ca="1" si="12"/>
        <v>-1305.3274190650275</v>
      </c>
      <c r="M11" s="1">
        <f t="shared" ca="1" si="13"/>
        <v>-9161.6134294547282</v>
      </c>
      <c r="N11" s="242" t="s">
        <v>162</v>
      </c>
      <c r="P11" s="241">
        <v>4</v>
      </c>
      <c r="Q11" s="22">
        <f>'SW Buoyancy Ballast'!I15</f>
        <v>199.68277745177912</v>
      </c>
      <c r="R11" s="1">
        <f t="shared" si="4"/>
        <v>432.98040902180065</v>
      </c>
      <c r="S11" s="1">
        <f t="shared" si="5"/>
        <v>2074.7879974813409</v>
      </c>
      <c r="T11" s="22">
        <f>'DW + LW'!E9</f>
        <v>3359.464944380753</v>
      </c>
      <c r="U11" s="1">
        <f t="shared" si="6"/>
        <v>1284.6769468994121</v>
      </c>
      <c r="V11" s="1">
        <f t="shared" si="14"/>
        <v>-653.64281816050266</v>
      </c>
      <c r="W11" s="1">
        <f>V10+V11+W10</f>
        <v>312.91678874971512</v>
      </c>
      <c r="X11" s="1">
        <f t="shared" si="15"/>
        <v>-3.0776036841187873</v>
      </c>
      <c r="Y11" s="1">
        <f t="shared" si="7"/>
        <v>-656.72042184462146</v>
      </c>
      <c r="Z11" s="1">
        <f t="shared" si="16"/>
        <v>1462.8859874049181</v>
      </c>
      <c r="AA11" s="1">
        <f t="shared" si="17"/>
        <v>-885.66741318098104</v>
      </c>
      <c r="AB11" s="1">
        <f t="shared" ref="AB11:AB26" si="18">Z11+AA11</f>
        <v>577.21857422393703</v>
      </c>
      <c r="AC11" s="242" t="s">
        <v>162</v>
      </c>
    </row>
    <row r="12" spans="1:29" x14ac:dyDescent="0.35">
      <c r="A12" s="241">
        <v>5</v>
      </c>
      <c r="B12" s="22">
        <f>'SW Buoyancy Cargo'!I16</f>
        <v>258.45267415000603</v>
      </c>
      <c r="C12" s="1">
        <f t="shared" si="0"/>
        <v>536.63350074845039</v>
      </c>
      <c r="D12" s="1">
        <f t="shared" si="1"/>
        <v>2571.4806563989805</v>
      </c>
      <c r="E12" s="22">
        <f ca="1">'DW + LW'!E34</f>
        <v>3061.6086108052968</v>
      </c>
      <c r="F12" s="1">
        <f t="shared" ca="1" si="2"/>
        <v>490.12795440631635</v>
      </c>
      <c r="G12" s="1">
        <f t="shared" ca="1" si="8"/>
        <v>-584.66628219964764</v>
      </c>
      <c r="H12" s="1">
        <f ca="1">G11+G12+H11</f>
        <v>-3541.253520031446</v>
      </c>
      <c r="I12" s="1">
        <f t="shared" ca="1" si="10"/>
        <v>-4.7066002091221861</v>
      </c>
      <c r="J12" s="1">
        <f t="shared" ca="1" si="3"/>
        <v>-589.37288240876978</v>
      </c>
      <c r="K12" s="1">
        <f t="shared" ca="1" si="11"/>
        <v>-16555.360206147008</v>
      </c>
      <c r="L12" s="1">
        <f t="shared" ca="1" si="12"/>
        <v>-1631.6592738312843</v>
      </c>
      <c r="M12" s="1">
        <f t="shared" ca="1" si="13"/>
        <v>-18187.019479978291</v>
      </c>
      <c r="N12" s="242" t="s">
        <v>163</v>
      </c>
      <c r="P12" s="241">
        <v>5</v>
      </c>
      <c r="Q12" s="22">
        <f>'SW Buoyancy Ballast'!I16</f>
        <v>233.29763157002154</v>
      </c>
      <c r="R12" s="1">
        <f t="shared" si="4"/>
        <v>486.37995786364911</v>
      </c>
      <c r="S12" s="1">
        <f t="shared" si="5"/>
        <v>2330.6719605878734</v>
      </c>
      <c r="T12" s="22">
        <f>'DW + LW'!E10</f>
        <v>3451.5171742073612</v>
      </c>
      <c r="U12" s="1">
        <f t="shared" si="6"/>
        <v>1120.8452136194878</v>
      </c>
      <c r="V12" s="1">
        <f t="shared" si="14"/>
        <v>631.03412873890943</v>
      </c>
      <c r="W12" s="1">
        <f>V11+V12+W11</f>
        <v>290.3080993281219</v>
      </c>
      <c r="X12" s="1">
        <f t="shared" si="15"/>
        <v>-3.8470046051484843</v>
      </c>
      <c r="Y12" s="1">
        <f t="shared" si="7"/>
        <v>627.1871241337609</v>
      </c>
      <c r="Z12" s="1">
        <f t="shared" si="16"/>
        <v>1357.1903643589699</v>
      </c>
      <c r="AA12" s="1">
        <f t="shared" si="17"/>
        <v>-1107.0842664762263</v>
      </c>
      <c r="AB12" s="1">
        <f t="shared" si="18"/>
        <v>250.1060978827436</v>
      </c>
      <c r="AC12" s="242" t="s">
        <v>163</v>
      </c>
    </row>
    <row r="13" spans="1:29" x14ac:dyDescent="0.35">
      <c r="A13" s="241">
        <v>6</v>
      </c>
      <c r="B13" s="22">
        <f>'SW Buoyancy Cargo'!I17</f>
        <v>278.18082659844436</v>
      </c>
      <c r="C13" s="1">
        <f t="shared" si="0"/>
        <v>564.64947688874872</v>
      </c>
      <c r="D13" s="1">
        <f t="shared" si="1"/>
        <v>2705.7297120662724</v>
      </c>
      <c r="E13" s="22">
        <f ca="1">'DW + LW'!E35</f>
        <v>3199.0419657479492</v>
      </c>
      <c r="F13" s="1">
        <f t="shared" ca="1" si="2"/>
        <v>493.31225368167679</v>
      </c>
      <c r="G13" s="1">
        <f t="shared" ca="1" si="8"/>
        <v>-94.538327793331291</v>
      </c>
      <c r="H13" s="1">
        <f t="shared" ca="1" si="9"/>
        <v>-4220.4581300244245</v>
      </c>
      <c r="I13" s="1">
        <f t="shared" ca="1" si="10"/>
        <v>-5.6479202509466235</v>
      </c>
      <c r="J13" s="1">
        <f t="shared" ca="1" si="3"/>
        <v>-100.18624804427792</v>
      </c>
      <c r="K13" s="1">
        <f t="shared" ca="1" si="11"/>
        <v>-19730.641757864185</v>
      </c>
      <c r="L13" s="1">
        <f t="shared" ca="1" si="12"/>
        <v>-1957.9911285975409</v>
      </c>
      <c r="M13" s="1">
        <f t="shared" ca="1" si="13"/>
        <v>-21688.632886461724</v>
      </c>
      <c r="N13" s="242" t="s">
        <v>164</v>
      </c>
      <c r="P13" s="241">
        <v>6</v>
      </c>
      <c r="Q13" s="22">
        <f>'SW Buoyancy Ballast'!I17</f>
        <v>253.0823262936276</v>
      </c>
      <c r="R13" s="1">
        <f t="shared" si="4"/>
        <v>514.68632689340541</v>
      </c>
      <c r="S13" s="1">
        <f t="shared" si="5"/>
        <v>2466.3125426823367</v>
      </c>
      <c r="T13" s="22">
        <f>'DW + LW'!E11</f>
        <v>1077.0461173667497</v>
      </c>
      <c r="U13" s="1">
        <f t="shared" si="6"/>
        <v>-1389.266425315587</v>
      </c>
      <c r="V13" s="1">
        <f t="shared" si="14"/>
        <v>1751.8793423583973</v>
      </c>
      <c r="W13" s="1">
        <f t="shared" ref="W13:W19" si="19">V12+V13+W12</f>
        <v>2673.2215704254286</v>
      </c>
      <c r="X13" s="1">
        <f t="shared" si="15"/>
        <v>-4.6164055261781813</v>
      </c>
      <c r="Y13" s="1">
        <f t="shared" si="7"/>
        <v>1747.2629368322191</v>
      </c>
      <c r="Z13" s="1">
        <f t="shared" si="16"/>
        <v>12497.310841738878</v>
      </c>
      <c r="AA13" s="1">
        <f t="shared" si="17"/>
        <v>-1328.5011197714716</v>
      </c>
      <c r="AB13" s="1">
        <f t="shared" si="18"/>
        <v>11168.809721967405</v>
      </c>
      <c r="AC13" s="242" t="s">
        <v>164</v>
      </c>
    </row>
    <row r="14" spans="1:29" x14ac:dyDescent="0.35">
      <c r="A14" s="241">
        <v>7</v>
      </c>
      <c r="B14" s="22">
        <f>'SW Buoyancy Cargo'!I18</f>
        <v>286.46865029030431</v>
      </c>
      <c r="C14" s="1">
        <f>B14+B15</f>
        <v>574.51301148431151</v>
      </c>
      <c r="D14" s="1">
        <f t="shared" si="1"/>
        <v>2752.9945369063848</v>
      </c>
      <c r="E14" s="22">
        <f ca="1">'DW + LW'!E36</f>
        <v>2804.5988542225095</v>
      </c>
      <c r="F14" s="1">
        <f t="shared" ca="1" si="2"/>
        <v>51.604317316124707</v>
      </c>
      <c r="G14" s="1">
        <f t="shared" ca="1" si="8"/>
        <v>398.7739258883455</v>
      </c>
      <c r="H14" s="1">
        <f t="shared" ca="1" si="9"/>
        <v>-3916.2225319294103</v>
      </c>
      <c r="I14" s="1">
        <f t="shared" ca="1" si="10"/>
        <v>-6.5892402927710609</v>
      </c>
      <c r="J14" s="1">
        <f t="shared" ca="1" si="3"/>
        <v>392.18468559557442</v>
      </c>
      <c r="K14" s="1">
        <f t="shared" ca="1" si="11"/>
        <v>-18308.340336769994</v>
      </c>
      <c r="L14" s="1">
        <f t="shared" ca="1" si="12"/>
        <v>-2284.3229833637979</v>
      </c>
      <c r="M14" s="1">
        <f t="shared" ca="1" si="13"/>
        <v>-20592.66332013379</v>
      </c>
      <c r="N14" s="242" t="s">
        <v>165</v>
      </c>
      <c r="P14" s="241">
        <v>7</v>
      </c>
      <c r="Q14" s="22">
        <f>'SW Buoyancy Ballast'!I18</f>
        <v>261.60400059977781</v>
      </c>
      <c r="R14" s="1">
        <f>Q14+Q15</f>
        <v>525.11246243395601</v>
      </c>
      <c r="S14" s="1">
        <f t="shared" si="5"/>
        <v>2516.2732809257127</v>
      </c>
      <c r="T14" s="22">
        <f>'DW + LW'!E12</f>
        <v>1150.8847427395344</v>
      </c>
      <c r="U14" s="1">
        <f t="shared" si="6"/>
        <v>-1365.3885381861783</v>
      </c>
      <c r="V14" s="1">
        <f t="shared" si="14"/>
        <v>362.6129170428103</v>
      </c>
      <c r="W14" s="1">
        <f t="shared" si="19"/>
        <v>4787.7138298266364</v>
      </c>
      <c r="X14" s="1">
        <f t="shared" si="15"/>
        <v>-5.3858064472078784</v>
      </c>
      <c r="Y14" s="1">
        <f t="shared" si="7"/>
        <v>357.22711059560243</v>
      </c>
      <c r="Z14" s="1">
        <f t="shared" si="16"/>
        <v>22382.562154439525</v>
      </c>
      <c r="AA14" s="1">
        <f t="shared" si="17"/>
        <v>-1549.917973066717</v>
      </c>
      <c r="AB14" s="1">
        <f t="shared" si="18"/>
        <v>20832.644181372809</v>
      </c>
      <c r="AC14" s="242" t="s">
        <v>165</v>
      </c>
    </row>
    <row r="15" spans="1:29" x14ac:dyDescent="0.35">
      <c r="A15" s="241">
        <v>8</v>
      </c>
      <c r="B15" s="22">
        <f>'SW Buoyancy Cargo'!I19</f>
        <v>288.04436119400719</v>
      </c>
      <c r="C15" s="1">
        <f t="shared" si="0"/>
        <v>575.71900231529855</v>
      </c>
      <c r="D15" s="1">
        <f t="shared" si="1"/>
        <v>2758.7734942196207</v>
      </c>
      <c r="E15" s="22">
        <f ca="1">'DW + LW'!E37</f>
        <v>2801.6611556013331</v>
      </c>
      <c r="F15" s="1">
        <f t="shared" ca="1" si="2"/>
        <v>42.887661381712405</v>
      </c>
      <c r="G15" s="1">
        <f ca="1">F14+G14</f>
        <v>450.37824320447021</v>
      </c>
      <c r="H15" s="1">
        <f t="shared" ca="1" si="9"/>
        <v>-3067.0703628365945</v>
      </c>
      <c r="I15" s="1">
        <f t="shared" ca="1" si="10"/>
        <v>-7.5305603345954975</v>
      </c>
      <c r="J15" s="1">
        <f t="shared" ca="1" si="3"/>
        <v>442.84768286987469</v>
      </c>
      <c r="K15" s="1">
        <f t="shared" ca="1" si="11"/>
        <v>-14338.55394626108</v>
      </c>
      <c r="L15" s="1">
        <f t="shared" ca="1" si="12"/>
        <v>-2610.6548381300549</v>
      </c>
      <c r="M15" s="1">
        <f t="shared" ca="1" si="13"/>
        <v>-16949.208784391136</v>
      </c>
      <c r="N15" s="242" t="s">
        <v>166</v>
      </c>
      <c r="P15" s="241">
        <v>8</v>
      </c>
      <c r="Q15" s="22">
        <f>'SW Buoyancy Ballast'!I19</f>
        <v>263.50846183417821</v>
      </c>
      <c r="R15" s="1">
        <f t="shared" ref="R15:R26" si="20">Q15+Q16</f>
        <v>526.95509124954447</v>
      </c>
      <c r="S15" s="1">
        <f t="shared" si="5"/>
        <v>2525.1029278814103</v>
      </c>
      <c r="T15" s="22">
        <f>'DW + LW'!E13</f>
        <v>3797.7802280439319</v>
      </c>
      <c r="U15" s="1">
        <f t="shared" si="6"/>
        <v>1272.6773001625215</v>
      </c>
      <c r="V15" s="1">
        <f>U14+V14</f>
        <v>-1002.775621143368</v>
      </c>
      <c r="W15" s="1">
        <f t="shared" si="19"/>
        <v>4147.5511257260787</v>
      </c>
      <c r="X15" s="1">
        <f t="shared" si="15"/>
        <v>-6.1552073682375745</v>
      </c>
      <c r="Y15" s="1">
        <f t="shared" si="7"/>
        <v>-1008.9308285116056</v>
      </c>
      <c r="Z15" s="1">
        <f t="shared" si="16"/>
        <v>19389.801512769416</v>
      </c>
      <c r="AA15" s="1">
        <f t="shared" si="17"/>
        <v>-1771.3348263619621</v>
      </c>
      <c r="AB15" s="1">
        <f t="shared" si="18"/>
        <v>17618.466686407453</v>
      </c>
      <c r="AC15" s="242" t="s">
        <v>166</v>
      </c>
    </row>
    <row r="16" spans="1:29" x14ac:dyDescent="0.35">
      <c r="A16" s="241">
        <v>9</v>
      </c>
      <c r="B16" s="22">
        <f>'SW Buoyancy Cargo'!I20</f>
        <v>287.67464112129136</v>
      </c>
      <c r="C16" s="1">
        <f t="shared" si="0"/>
        <v>574.9796302297093</v>
      </c>
      <c r="D16" s="1">
        <f t="shared" si="1"/>
        <v>2755.2305156069879</v>
      </c>
      <c r="E16" s="22">
        <f ca="1">'DW + LW'!E38</f>
        <v>2723.6471387014381</v>
      </c>
      <c r="F16" s="1">
        <f t="shared" ca="1" si="2"/>
        <v>-31.583376905549812</v>
      </c>
      <c r="G16" s="1">
        <f t="shared" ca="1" si="8"/>
        <v>493.26590458618261</v>
      </c>
      <c r="H16" s="1">
        <f t="shared" ca="1" si="9"/>
        <v>-2123.4262150459417</v>
      </c>
      <c r="I16" s="1">
        <f t="shared" ca="1" si="10"/>
        <v>-8.4718803764199357</v>
      </c>
      <c r="J16" s="1">
        <f t="shared" ca="1" si="3"/>
        <v>484.79402420976265</v>
      </c>
      <c r="K16" s="1">
        <f t="shared" ca="1" si="11"/>
        <v>-9927.0175553397767</v>
      </c>
      <c r="L16" s="1">
        <f t="shared" ca="1" si="12"/>
        <v>-2936.986692896312</v>
      </c>
      <c r="M16" s="1">
        <f t="shared" ca="1" si="13"/>
        <v>-12864.004248236088</v>
      </c>
      <c r="N16" s="242" t="s">
        <v>167</v>
      </c>
      <c r="P16" s="241">
        <v>9</v>
      </c>
      <c r="Q16" s="22">
        <f>'SW Buoyancy Ballast'!I20</f>
        <v>263.44662941536632</v>
      </c>
      <c r="R16" s="1">
        <f t="shared" si="20"/>
        <v>526.83145139872761</v>
      </c>
      <c r="S16" s="1">
        <f t="shared" si="5"/>
        <v>2524.5104611712773</v>
      </c>
      <c r="T16" s="22">
        <f>'DW + LW'!E14</f>
        <v>3798.6306213002845</v>
      </c>
      <c r="U16" s="1">
        <f t="shared" si="6"/>
        <v>1274.1201601290072</v>
      </c>
      <c r="V16" s="1">
        <f t="shared" ref="V16:V27" si="21">U15+V15</f>
        <v>269.90167901915356</v>
      </c>
      <c r="W16" s="1">
        <f t="shared" si="19"/>
        <v>3414.6771836018643</v>
      </c>
      <c r="X16" s="1">
        <f t="shared" si="15"/>
        <v>-6.9246082892672716</v>
      </c>
      <c r="Y16" s="1">
        <f t="shared" si="7"/>
        <v>262.97707072988629</v>
      </c>
      <c r="Z16" s="1">
        <f t="shared" si="16"/>
        <v>15963.615833338716</v>
      </c>
      <c r="AA16" s="1">
        <f t="shared" si="17"/>
        <v>-1992.7516796572072</v>
      </c>
      <c r="AB16" s="1">
        <f t="shared" si="18"/>
        <v>13970.864153681508</v>
      </c>
      <c r="AC16" s="242" t="s">
        <v>167</v>
      </c>
    </row>
    <row r="17" spans="1:29" x14ac:dyDescent="0.35">
      <c r="A17" s="241">
        <v>10</v>
      </c>
      <c r="B17" s="22">
        <f>'SW Buoyancy Cargo'!I21</f>
        <v>287.304989108418</v>
      </c>
      <c r="C17" s="1">
        <f t="shared" si="0"/>
        <v>574.24039487990217</v>
      </c>
      <c r="D17" s="1">
        <f t="shared" si="1"/>
        <v>2751.6881922151306</v>
      </c>
      <c r="E17" s="22">
        <f ca="1">'DW + LW'!E39</f>
        <v>2802.8626885952426</v>
      </c>
      <c r="F17" s="1">
        <f t="shared" ca="1" si="2"/>
        <v>51.174496380112032</v>
      </c>
      <c r="G17" s="1">
        <f t="shared" ca="1" si="8"/>
        <v>461.6825276806328</v>
      </c>
      <c r="H17" s="1">
        <f t="shared" ca="1" si="9"/>
        <v>-1168.4777827791263</v>
      </c>
      <c r="I17" s="1">
        <f t="shared" ca="1" si="10"/>
        <v>-9.4132004182443723</v>
      </c>
      <c r="J17" s="1">
        <f t="shared" ca="1" si="3"/>
        <v>452.2693272623884</v>
      </c>
      <c r="K17" s="1">
        <f t="shared" ca="1" si="11"/>
        <v>-5462.6336344924157</v>
      </c>
      <c r="L17" s="1">
        <f t="shared" ca="1" si="12"/>
        <v>-3263.3185476625686</v>
      </c>
      <c r="M17" s="1">
        <f t="shared" ca="1" si="13"/>
        <v>-8725.9521821549843</v>
      </c>
      <c r="N17" s="242" t="s">
        <v>168</v>
      </c>
      <c r="P17" s="241">
        <v>10</v>
      </c>
      <c r="Q17" s="22">
        <f>'SW Buoyancy Ballast'!I21</f>
        <v>263.38482198336129</v>
      </c>
      <c r="R17" s="1">
        <f t="shared" si="20"/>
        <v>526.70786154683628</v>
      </c>
      <c r="S17" s="1">
        <f t="shared" si="5"/>
        <v>2523.9182340497459</v>
      </c>
      <c r="T17" s="22">
        <f>'DW + LW'!E15</f>
        <v>1221.9432334935605</v>
      </c>
      <c r="U17" s="1">
        <f t="shared" si="6"/>
        <v>-1301.9750005561855</v>
      </c>
      <c r="V17" s="1">
        <f t="shared" si="21"/>
        <v>1544.0218391481608</v>
      </c>
      <c r="W17" s="1">
        <f t="shared" si="19"/>
        <v>5228.6007017691791</v>
      </c>
      <c r="X17" s="1">
        <f t="shared" si="15"/>
        <v>-7.6940092102969686</v>
      </c>
      <c r="Y17" s="1">
        <f t="shared" si="7"/>
        <v>1536.3278299378637</v>
      </c>
      <c r="Z17" s="1">
        <f t="shared" si="16"/>
        <v>24443.708280770912</v>
      </c>
      <c r="AA17" s="1">
        <f t="shared" si="17"/>
        <v>-2214.1685329524526</v>
      </c>
      <c r="AB17" s="1">
        <f t="shared" si="18"/>
        <v>22229.53974781846</v>
      </c>
      <c r="AC17" s="242" t="s">
        <v>168</v>
      </c>
    </row>
    <row r="18" spans="1:29" x14ac:dyDescent="0.35">
      <c r="A18" s="241">
        <v>11</v>
      </c>
      <c r="B18" s="22">
        <f>'SW Buoyancy Cargo'!I22</f>
        <v>286.93540577148423</v>
      </c>
      <c r="C18" s="1">
        <f t="shared" si="0"/>
        <v>573.50129747919721</v>
      </c>
      <c r="D18" s="1">
        <f t="shared" si="1"/>
        <v>2748.1465298581275</v>
      </c>
      <c r="E18" s="22">
        <f ca="1">'DW + LW'!E40</f>
        <v>2646.1551047974281</v>
      </c>
      <c r="F18" s="1">
        <f t="shared" ca="1" si="2"/>
        <v>-101.99142506069938</v>
      </c>
      <c r="G18" s="1">
        <f t="shared" ca="1" si="8"/>
        <v>512.85702406074483</v>
      </c>
      <c r="H18" s="1">
        <f t="shared" ca="1" si="9"/>
        <v>-193.93823103774866</v>
      </c>
      <c r="I18" s="1">
        <f t="shared" ca="1" si="10"/>
        <v>-10.354520460068809</v>
      </c>
      <c r="J18" s="1">
        <f t="shared" ca="1" si="3"/>
        <v>502.50250360067605</v>
      </c>
      <c r="K18" s="1">
        <f t="shared" ca="1" si="11"/>
        <v>-906.66123010147498</v>
      </c>
      <c r="L18" s="1">
        <f t="shared" ca="1" si="12"/>
        <v>-3589.6504024288251</v>
      </c>
      <c r="M18" s="1">
        <f t="shared" ca="1" si="13"/>
        <v>-4496.3116325302999</v>
      </c>
      <c r="N18" s="242" t="s">
        <v>169</v>
      </c>
      <c r="P18" s="241">
        <v>11</v>
      </c>
      <c r="Q18" s="22">
        <f>'SW Buoyancy Ballast'!I22</f>
        <v>263.32303956347505</v>
      </c>
      <c r="R18" s="1">
        <f t="shared" si="20"/>
        <v>526.5843217437473</v>
      </c>
      <c r="S18" s="1">
        <f t="shared" si="5"/>
        <v>2523.3262467558188</v>
      </c>
      <c r="T18" s="22">
        <f>'DW + LW'!E16</f>
        <v>1222.1480211185985</v>
      </c>
      <c r="U18" s="1">
        <f t="shared" si="6"/>
        <v>-1301.1782256372203</v>
      </c>
      <c r="V18" s="1">
        <f t="shared" si="21"/>
        <v>242.0468385919753</v>
      </c>
      <c r="W18" s="1">
        <f t="shared" si="19"/>
        <v>7014.6693795093151</v>
      </c>
      <c r="X18" s="1">
        <f t="shared" si="15"/>
        <v>-8.4634101313266648</v>
      </c>
      <c r="Y18" s="1">
        <f t="shared" si="7"/>
        <v>233.58342846064863</v>
      </c>
      <c r="Z18" s="1">
        <f t="shared" si="16"/>
        <v>32793.579349206047</v>
      </c>
      <c r="AA18" s="1">
        <f t="shared" si="17"/>
        <v>-2435.5853862476979</v>
      </c>
      <c r="AB18" s="1">
        <f t="shared" si="18"/>
        <v>30357.99396295835</v>
      </c>
      <c r="AC18" s="242" t="s">
        <v>169</v>
      </c>
    </row>
    <row r="19" spans="1:29" x14ac:dyDescent="0.35">
      <c r="A19" s="241">
        <v>12</v>
      </c>
      <c r="B19" s="22">
        <f>'SW Buoyancy Cargo'!I23</f>
        <v>286.56589170771298</v>
      </c>
      <c r="C19" s="1">
        <f t="shared" si="0"/>
        <v>571.79717715860284</v>
      </c>
      <c r="D19" s="1">
        <f t="shared" si="1"/>
        <v>2739.9805982968796</v>
      </c>
      <c r="E19" s="22">
        <f ca="1">'DW + LW'!E41</f>
        <v>2643.6727457965799</v>
      </c>
      <c r="F19" s="1">
        <f t="shared" ca="1" si="2"/>
        <v>-96.307852500299759</v>
      </c>
      <c r="G19" s="1">
        <f t="shared" ca="1" si="8"/>
        <v>410.86559900004545</v>
      </c>
      <c r="H19" s="1">
        <f t="shared" ca="1" si="9"/>
        <v>729.78439202304162</v>
      </c>
      <c r="I19" s="1">
        <f t="shared" ca="1" si="10"/>
        <v>-11.295840501893247</v>
      </c>
      <c r="J19" s="1">
        <f t="shared" ca="1" si="3"/>
        <v>399.56975849815223</v>
      </c>
      <c r="K19" s="1">
        <f t="shared" ca="1" si="11"/>
        <v>3411.7420327077193</v>
      </c>
      <c r="L19" s="1">
        <f t="shared" ca="1" si="12"/>
        <v>-3915.9822571950817</v>
      </c>
      <c r="M19" s="1">
        <f t="shared" ca="1" si="13"/>
        <v>-504.24022448736241</v>
      </c>
      <c r="N19" s="242" t="s">
        <v>170</v>
      </c>
      <c r="P19" s="241">
        <v>12</v>
      </c>
      <c r="Q19" s="22">
        <f>'SW Buoyancy Ballast'!I23</f>
        <v>263.26128218027219</v>
      </c>
      <c r="R19" s="1">
        <f t="shared" si="20"/>
        <v>525.49016945838173</v>
      </c>
      <c r="S19" s="1">
        <f t="shared" si="5"/>
        <v>2518.0832057733824</v>
      </c>
      <c r="T19" s="22">
        <f>'DW + LW'!E17</f>
        <v>3796.5710296206489</v>
      </c>
      <c r="U19" s="1">
        <f t="shared" si="6"/>
        <v>1278.4878238472666</v>
      </c>
      <c r="V19" s="1">
        <f t="shared" si="21"/>
        <v>-1059.131387045245</v>
      </c>
      <c r="W19" s="1">
        <f t="shared" si="19"/>
        <v>6197.584831056045</v>
      </c>
      <c r="X19" s="1">
        <f t="shared" si="15"/>
        <v>-9.2328110523563627</v>
      </c>
      <c r="Y19" s="1">
        <f t="shared" si="7"/>
        <v>-1068.3641980976013</v>
      </c>
      <c r="Z19" s="1">
        <f t="shared" si="16"/>
        <v>28973.709085187009</v>
      </c>
      <c r="AA19" s="1">
        <f t="shared" si="17"/>
        <v>-2657.0022395429432</v>
      </c>
      <c r="AB19" s="1">
        <f t="shared" si="18"/>
        <v>26316.706845644065</v>
      </c>
      <c r="AC19" s="242" t="s">
        <v>170</v>
      </c>
    </row>
    <row r="20" spans="1:29" x14ac:dyDescent="0.35">
      <c r="A20" s="241">
        <v>13</v>
      </c>
      <c r="B20" s="22">
        <f>'SW Buoyancy Cargo'!I24</f>
        <v>285.23128545088986</v>
      </c>
      <c r="C20" s="1">
        <f t="shared" si="0"/>
        <v>566.37486202148943</v>
      </c>
      <c r="D20" s="1">
        <f t="shared" si="1"/>
        <v>2713.9975419492243</v>
      </c>
      <c r="E20" s="22">
        <f ca="1">'DW + LW'!E42</f>
        <v>2628.7842681140446</v>
      </c>
      <c r="F20" s="1">
        <f t="shared" ca="1" si="2"/>
        <v>-85.213273835179734</v>
      </c>
      <c r="G20" s="1">
        <f t="shared" ca="1" si="8"/>
        <v>314.55774649974569</v>
      </c>
      <c r="H20" s="1">
        <f ca="1">G19+G20+H19</f>
        <v>1455.2077375228328</v>
      </c>
      <c r="I20" s="1">
        <f t="shared" ca="1" si="10"/>
        <v>-12.237160543717684</v>
      </c>
      <c r="J20" s="1">
        <f t="shared" ca="1" si="3"/>
        <v>302.32058595602803</v>
      </c>
      <c r="K20" s="1">
        <f t="shared" ca="1" si="11"/>
        <v>6803.0961729192431</v>
      </c>
      <c r="L20" s="1">
        <f t="shared" ca="1" si="12"/>
        <v>-4242.3141119613392</v>
      </c>
      <c r="M20" s="1">
        <f t="shared" ca="1" si="13"/>
        <v>2560.7820609579039</v>
      </c>
      <c r="N20" s="242" t="s">
        <v>171</v>
      </c>
      <c r="P20" s="241">
        <v>13</v>
      </c>
      <c r="Q20" s="22">
        <f>'SW Buoyancy Ballast'!I24</f>
        <v>262.22888727810954</v>
      </c>
      <c r="R20" s="1">
        <f t="shared" si="20"/>
        <v>520.7663654328685</v>
      </c>
      <c r="S20" s="1">
        <f t="shared" si="5"/>
        <v>2495.4473273586264</v>
      </c>
      <c r="T20" s="22">
        <f>'DW + LW'!E18</f>
        <v>3670.1119499863344</v>
      </c>
      <c r="U20" s="1">
        <f t="shared" si="6"/>
        <v>1174.664622627708</v>
      </c>
      <c r="V20" s="1">
        <f t="shared" si="21"/>
        <v>219.35643680202156</v>
      </c>
      <c r="W20" s="1">
        <f>V19+V20+W19</f>
        <v>5357.8098808128216</v>
      </c>
      <c r="X20" s="1">
        <f t="shared" si="15"/>
        <v>-10.002211973386059</v>
      </c>
      <c r="Y20" s="1">
        <f t="shared" si="7"/>
        <v>209.35422482863549</v>
      </c>
      <c r="Z20" s="1">
        <f t="shared" si="16"/>
        <v>25047.761192799939</v>
      </c>
      <c r="AA20" s="1">
        <f t="shared" si="17"/>
        <v>-2878.4190928381881</v>
      </c>
      <c r="AB20" s="1">
        <f t="shared" si="18"/>
        <v>22169.342099961752</v>
      </c>
      <c r="AC20" s="242" t="s">
        <v>171</v>
      </c>
    </row>
    <row r="21" spans="1:29" x14ac:dyDescent="0.35">
      <c r="A21" s="241">
        <v>14</v>
      </c>
      <c r="B21" s="22">
        <f>'SW Buoyancy Cargo'!I25</f>
        <v>281.14357657059958</v>
      </c>
      <c r="C21" s="1">
        <f t="shared" si="0"/>
        <v>552.34488538152186</v>
      </c>
      <c r="D21" s="1">
        <f t="shared" si="1"/>
        <v>2646.7676476375796</v>
      </c>
      <c r="E21" s="22">
        <f ca="1">'DW + LW'!E43</f>
        <v>2477.6614872163796</v>
      </c>
      <c r="F21" s="1">
        <f t="shared" ca="1" si="2"/>
        <v>-169.1061604212</v>
      </c>
      <c r="G21" s="1">
        <f t="shared" ca="1" si="8"/>
        <v>229.34447266456596</v>
      </c>
      <c r="H21" s="1">
        <f t="shared" ca="1" si="9"/>
        <v>1999.1099566871444</v>
      </c>
      <c r="I21" s="1">
        <f t="shared" ca="1" si="10"/>
        <v>-13.178480585542122</v>
      </c>
      <c r="J21" s="1">
        <f t="shared" ca="1" si="3"/>
        <v>216.16599207902382</v>
      </c>
      <c r="K21" s="1">
        <f t="shared" ca="1" si="11"/>
        <v>9345.8390475123997</v>
      </c>
      <c r="L21" s="1">
        <f t="shared" ca="1" si="12"/>
        <v>-4568.6459667275958</v>
      </c>
      <c r="M21" s="1">
        <f t="shared" ca="1" si="13"/>
        <v>4777.1930807848039</v>
      </c>
      <c r="N21" s="242" t="s">
        <v>172</v>
      </c>
      <c r="P21" s="241">
        <v>14</v>
      </c>
      <c r="Q21" s="22">
        <f>'SW Buoyancy Ballast'!I25</f>
        <v>258.53747815475896</v>
      </c>
      <c r="R21" s="1">
        <f t="shared" si="20"/>
        <v>507.74751669658235</v>
      </c>
      <c r="S21" s="1">
        <f t="shared" si="5"/>
        <v>2433.0626315704353</v>
      </c>
      <c r="T21" s="22">
        <f>'DW + LW'!E19</f>
        <v>915.29543781697964</v>
      </c>
      <c r="U21" s="1">
        <f t="shared" si="6"/>
        <v>-1517.7671937534556</v>
      </c>
      <c r="V21" s="1">
        <f t="shared" si="21"/>
        <v>1394.0210594297296</v>
      </c>
      <c r="W21" s="1">
        <f t="shared" ref="W21:W27" si="22">V20+V21+W20</f>
        <v>6971.1873770445727</v>
      </c>
      <c r="X21" s="1">
        <f t="shared" si="15"/>
        <v>-10.771612894415757</v>
      </c>
      <c r="Y21" s="1">
        <f t="shared" si="7"/>
        <v>1383.2494465353138</v>
      </c>
      <c r="Z21" s="1">
        <f t="shared" si="16"/>
        <v>32590.300987683375</v>
      </c>
      <c r="AA21" s="1">
        <f t="shared" si="17"/>
        <v>-3099.8359461334339</v>
      </c>
      <c r="AB21" s="1">
        <f t="shared" si="18"/>
        <v>29490.465041549942</v>
      </c>
      <c r="AC21" s="242" t="s">
        <v>172</v>
      </c>
    </row>
    <row r="22" spans="1:29" x14ac:dyDescent="0.35">
      <c r="A22" s="241">
        <v>15</v>
      </c>
      <c r="B22" s="22">
        <f>'SW Buoyancy Cargo'!I26</f>
        <v>271.20130881092228</v>
      </c>
      <c r="C22" s="1">
        <f t="shared" si="0"/>
        <v>519.90939261195285</v>
      </c>
      <c r="D22" s="1">
        <f t="shared" si="1"/>
        <v>2491.3408207224011</v>
      </c>
      <c r="E22" s="22">
        <f ca="1">'DW + LW'!E44</f>
        <v>2339.5040078188872</v>
      </c>
      <c r="F22" s="1">
        <f t="shared" ca="1" si="2"/>
        <v>-151.83681290351387</v>
      </c>
      <c r="G22" s="1">
        <f t="shared" ca="1" si="8"/>
        <v>60.238312243365954</v>
      </c>
      <c r="H22" s="1">
        <f t="shared" ca="1" si="9"/>
        <v>2288.6927415950763</v>
      </c>
      <c r="I22" s="1">
        <f t="shared" ca="1" si="10"/>
        <v>-14.119800627366558</v>
      </c>
      <c r="J22" s="1">
        <f t="shared" ca="1" si="3"/>
        <v>46.118511615999395</v>
      </c>
      <c r="K22" s="1">
        <f t="shared" ca="1" si="11"/>
        <v>10699.638566956981</v>
      </c>
      <c r="L22" s="1">
        <f t="shared" ca="1" si="12"/>
        <v>-4894.9778214938533</v>
      </c>
      <c r="M22" s="1">
        <f t="shared" ca="1" si="13"/>
        <v>5804.6607454631276</v>
      </c>
      <c r="N22" s="242" t="s">
        <v>173</v>
      </c>
      <c r="P22" s="241">
        <v>15</v>
      </c>
      <c r="Q22" s="22">
        <f>'SW Buoyancy Ballast'!I26</f>
        <v>249.21003854182339</v>
      </c>
      <c r="R22" s="1">
        <f t="shared" si="20"/>
        <v>477.37507899418654</v>
      </c>
      <c r="S22" s="1">
        <f t="shared" si="5"/>
        <v>2287.5217066552673</v>
      </c>
      <c r="T22" s="22">
        <f>'DW + LW'!E20</f>
        <v>562.7477548632703</v>
      </c>
      <c r="U22" s="1">
        <f t="shared" si="6"/>
        <v>-1724.773951791997</v>
      </c>
      <c r="V22" s="1">
        <f t="shared" si="21"/>
        <v>-123.74613432372598</v>
      </c>
      <c r="W22" s="1">
        <f t="shared" si="22"/>
        <v>8241.4623021505759</v>
      </c>
      <c r="X22" s="1">
        <f t="shared" si="15"/>
        <v>-11.541013815445453</v>
      </c>
      <c r="Y22" s="1">
        <f t="shared" si="7"/>
        <v>-135.28714813917145</v>
      </c>
      <c r="Z22" s="1">
        <f t="shared" si="16"/>
        <v>38528.836262553938</v>
      </c>
      <c r="AA22" s="1">
        <f t="shared" si="17"/>
        <v>-3321.2527994286784</v>
      </c>
      <c r="AB22" s="1">
        <f t="shared" si="18"/>
        <v>35207.583463125258</v>
      </c>
      <c r="AC22" s="242" t="s">
        <v>173</v>
      </c>
    </row>
    <row r="23" spans="1:29" x14ac:dyDescent="0.35">
      <c r="A23" s="241">
        <v>16</v>
      </c>
      <c r="B23" s="22">
        <f>'SW Buoyancy Cargo'!I27</f>
        <v>248.70808380103063</v>
      </c>
      <c r="C23" s="1">
        <f t="shared" si="0"/>
        <v>458.54446478558731</v>
      </c>
      <c r="D23" s="1">
        <f t="shared" si="1"/>
        <v>2197.2877571944359</v>
      </c>
      <c r="E23" s="22">
        <f ca="1">'DW + LW'!E45</f>
        <v>2093.5027274154172</v>
      </c>
      <c r="F23" s="1">
        <f t="shared" ca="1" si="2"/>
        <v>-103.78502977901871</v>
      </c>
      <c r="G23" s="1">
        <f t="shared" ca="1" si="8"/>
        <v>-91.59850066014792</v>
      </c>
      <c r="H23" s="1">
        <f t="shared" ca="1" si="9"/>
        <v>2257.3325531782943</v>
      </c>
      <c r="I23" s="1">
        <f t="shared" ca="1" si="10"/>
        <v>-15.061120669190995</v>
      </c>
      <c r="J23" s="1">
        <f t="shared" ca="1" si="3"/>
        <v>-106.65962132933892</v>
      </c>
      <c r="K23" s="1">
        <f t="shared" ca="1" si="11"/>
        <v>10553.029686108526</v>
      </c>
      <c r="L23" s="1">
        <f t="shared" ca="1" si="12"/>
        <v>-5221.3096762601099</v>
      </c>
      <c r="M23" s="1">
        <f t="shared" ca="1" si="13"/>
        <v>5331.7200098484163</v>
      </c>
      <c r="N23" s="242" t="s">
        <v>174</v>
      </c>
      <c r="P23" s="241">
        <v>16</v>
      </c>
      <c r="Q23" s="22">
        <f>'SW Buoyancy Ballast'!I27</f>
        <v>228.16504045236317</v>
      </c>
      <c r="R23" s="1">
        <f t="shared" si="20"/>
        <v>420.25393648974818</v>
      </c>
      <c r="S23" s="1">
        <f t="shared" si="5"/>
        <v>2013.8043319168119</v>
      </c>
      <c r="T23" s="22">
        <f>'DW + LW'!E21</f>
        <v>2693.1694779988502</v>
      </c>
      <c r="U23" s="1">
        <f t="shared" si="6"/>
        <v>679.36514608203834</v>
      </c>
      <c r="V23" s="1">
        <f t="shared" si="21"/>
        <v>-1848.520086115723</v>
      </c>
      <c r="W23" s="1">
        <f t="shared" si="22"/>
        <v>6269.1960817111267</v>
      </c>
      <c r="X23" s="1">
        <f t="shared" si="15"/>
        <v>-12.310414736475149</v>
      </c>
      <c r="Y23" s="1">
        <f t="shared" si="7"/>
        <v>-1860.8305008521982</v>
      </c>
      <c r="Z23" s="1">
        <f t="shared" si="16"/>
        <v>29308.491681999516</v>
      </c>
      <c r="AA23" s="1">
        <f t="shared" si="17"/>
        <v>-3542.6696527239242</v>
      </c>
      <c r="AB23" s="1">
        <f t="shared" si="18"/>
        <v>25765.82202927559</v>
      </c>
      <c r="AC23" s="242" t="s">
        <v>174</v>
      </c>
    </row>
    <row r="24" spans="1:29" x14ac:dyDescent="0.35">
      <c r="A24" s="241">
        <v>17</v>
      </c>
      <c r="B24" s="22">
        <f>'SW Buoyancy Cargo'!I28</f>
        <v>209.83638098455668</v>
      </c>
      <c r="C24" s="1">
        <f t="shared" si="0"/>
        <v>365.49116769672719</v>
      </c>
      <c r="D24" s="1">
        <f t="shared" si="1"/>
        <v>1751.3879892067544</v>
      </c>
      <c r="E24" s="22">
        <f ca="1">'DW + LW'!E46</f>
        <v>1770.1592886516655</v>
      </c>
      <c r="F24" s="1">
        <f t="shared" ca="1" si="2"/>
        <v>18.771299444911165</v>
      </c>
      <c r="G24" s="1">
        <f t="shared" ca="1" si="8"/>
        <v>-195.38353043916663</v>
      </c>
      <c r="H24" s="1">
        <f t="shared" ca="1" si="9"/>
        <v>1970.3505220789798</v>
      </c>
      <c r="I24" s="1">
        <f t="shared" ca="1" si="10"/>
        <v>-16.002440711015431</v>
      </c>
      <c r="J24" s="1">
        <f t="shared" ca="1" si="3"/>
        <v>-211.38597115018206</v>
      </c>
      <c r="K24" s="1">
        <f t="shared" ca="1" si="11"/>
        <v>9211.38869071923</v>
      </c>
      <c r="L24" s="1">
        <f t="shared" ca="1" si="12"/>
        <v>-5547.6415310263665</v>
      </c>
      <c r="M24" s="1">
        <f t="shared" ca="1" si="13"/>
        <v>3663.7471596928635</v>
      </c>
      <c r="N24" s="242" t="s">
        <v>175</v>
      </c>
      <c r="P24" s="241">
        <v>17</v>
      </c>
      <c r="Q24" s="22">
        <f>'SW Buoyancy Ballast'!I28</f>
        <v>192.08889603738504</v>
      </c>
      <c r="R24" s="1">
        <f t="shared" si="20"/>
        <v>334.52088511849058</v>
      </c>
      <c r="S24" s="1">
        <f t="shared" si="5"/>
        <v>1602.9822663771668</v>
      </c>
      <c r="T24" s="22">
        <f>'DW + LW'!E22</f>
        <v>2225.7030989357586</v>
      </c>
      <c r="U24" s="1">
        <f t="shared" si="6"/>
        <v>622.72083255859184</v>
      </c>
      <c r="V24" s="1">
        <f t="shared" si="21"/>
        <v>-1169.1549400336846</v>
      </c>
      <c r="W24" s="1">
        <f t="shared" si="22"/>
        <v>3251.5210555617191</v>
      </c>
      <c r="X24" s="1">
        <f t="shared" si="15"/>
        <v>-13.079815657504847</v>
      </c>
      <c r="Y24" s="1">
        <f t="shared" si="7"/>
        <v>-1182.2347556911895</v>
      </c>
      <c r="Z24" s="1">
        <f t="shared" si="16"/>
        <v>15200.860934751036</v>
      </c>
      <c r="AA24" s="1">
        <f t="shared" si="17"/>
        <v>-3764.0865060191695</v>
      </c>
      <c r="AB24" s="1">
        <f t="shared" si="18"/>
        <v>11436.774428731866</v>
      </c>
      <c r="AC24" s="242" t="s">
        <v>175</v>
      </c>
    </row>
    <row r="25" spans="1:29" x14ac:dyDescent="0.35">
      <c r="A25" s="241">
        <v>18</v>
      </c>
      <c r="B25" s="22">
        <f>'SW Buoyancy Cargo'!I29</f>
        <v>155.65478671217048</v>
      </c>
      <c r="C25" s="1">
        <f t="shared" si="0"/>
        <v>238.23982449930782</v>
      </c>
      <c r="D25" s="1">
        <f t="shared" si="1"/>
        <v>1141.6154590226204</v>
      </c>
      <c r="E25" s="22">
        <f ca="1">'DW + LW'!E47</f>
        <v>1295.9792777489308</v>
      </c>
      <c r="F25" s="1">
        <f t="shared" ca="1" si="2"/>
        <v>154.36381872631046</v>
      </c>
      <c r="G25" s="1">
        <f t="shared" ca="1" si="8"/>
        <v>-176.61223099425547</v>
      </c>
      <c r="H25" s="1">
        <f t="shared" ca="1" si="9"/>
        <v>1598.3547606455577</v>
      </c>
      <c r="I25" s="1">
        <f t="shared" ca="1" si="10"/>
        <v>-16.943760752839871</v>
      </c>
      <c r="J25" s="1">
        <f t="shared" ca="1" si="3"/>
        <v>-193.55599174709533</v>
      </c>
      <c r="K25" s="1">
        <f t="shared" ca="1" si="11"/>
        <v>7472.3085060179819</v>
      </c>
      <c r="L25" s="1">
        <f t="shared" ca="1" si="12"/>
        <v>-5873.973385792624</v>
      </c>
      <c r="M25" s="1">
        <f t="shared" ca="1" si="13"/>
        <v>1598.335120225358</v>
      </c>
      <c r="N25" s="242" t="s">
        <v>176</v>
      </c>
      <c r="P25" s="241">
        <v>18</v>
      </c>
      <c r="Q25" s="22">
        <f>'SW Buoyancy Ballast'!I29</f>
        <v>142.43198908110554</v>
      </c>
      <c r="R25" s="1">
        <f t="shared" si="20"/>
        <v>217.915243690544</v>
      </c>
      <c r="S25" s="1">
        <f t="shared" si="5"/>
        <v>1044.2226083596254</v>
      </c>
      <c r="T25" s="22">
        <f>'DW + LW'!E23</f>
        <v>1561.8326938654332</v>
      </c>
      <c r="U25" s="1">
        <f t="shared" si="6"/>
        <v>517.61008550580777</v>
      </c>
      <c r="V25" s="1">
        <f t="shared" si="21"/>
        <v>-546.43410747509279</v>
      </c>
      <c r="W25" s="1">
        <f t="shared" si="22"/>
        <v>1535.9320080529417</v>
      </c>
      <c r="X25" s="1">
        <f t="shared" si="15"/>
        <v>-13.849216578534543</v>
      </c>
      <c r="Y25" s="1">
        <f t="shared" si="7"/>
        <v>-560.28332405362733</v>
      </c>
      <c r="Z25" s="1">
        <f t="shared" si="16"/>
        <v>7180.482137647502</v>
      </c>
      <c r="AA25" s="1">
        <f t="shared" si="17"/>
        <v>-3985.5033593144144</v>
      </c>
      <c r="AB25" s="1">
        <f t="shared" si="18"/>
        <v>3194.9787783330876</v>
      </c>
      <c r="AC25" s="242" t="s">
        <v>176</v>
      </c>
    </row>
    <row r="26" spans="1:29" x14ac:dyDescent="0.35">
      <c r="A26" s="241">
        <v>19</v>
      </c>
      <c r="B26" s="22">
        <f>'SW Buoyancy Cargo'!I30</f>
        <v>82.585037787137338</v>
      </c>
      <c r="C26" s="1">
        <f t="shared" si="0"/>
        <v>82.837943836367643</v>
      </c>
      <c r="D26" s="1">
        <f t="shared" si="1"/>
        <v>396.94907212089413</v>
      </c>
      <c r="E26" s="22">
        <f ca="1">'DW + LW'!E48</f>
        <v>438.02388522532789</v>
      </c>
      <c r="F26" s="1">
        <f t="shared" ca="1" si="2"/>
        <v>41.074813104433758</v>
      </c>
      <c r="G26" s="1">
        <f t="shared" ca="1" si="8"/>
        <v>-22.248412267945014</v>
      </c>
      <c r="H26" s="1">
        <f t="shared" ca="1" si="9"/>
        <v>1399.4941173833572</v>
      </c>
      <c r="I26" s="1">
        <f t="shared" ca="1" si="10"/>
        <v>-17.885080794664308</v>
      </c>
      <c r="J26" s="1">
        <f t="shared" ca="1" si="3"/>
        <v>-40.133493062609318</v>
      </c>
      <c r="K26" s="1">
        <f t="shared" ca="1" si="11"/>
        <v>6542.6349987671947</v>
      </c>
      <c r="L26" s="1">
        <f t="shared" ca="1" si="12"/>
        <v>-6200.3052405588805</v>
      </c>
      <c r="M26" s="1">
        <f t="shared" ca="1" si="13"/>
        <v>342.32975820831416</v>
      </c>
      <c r="N26" s="242" t="s">
        <v>177</v>
      </c>
      <c r="P26" s="241">
        <v>19</v>
      </c>
      <c r="Q26" s="22">
        <f>'SW Buoyancy Ballast'!I30</f>
        <v>75.483254609438475</v>
      </c>
      <c r="R26" s="1">
        <f t="shared" si="20"/>
        <v>75.501668173891389</v>
      </c>
      <c r="S26" s="1">
        <f t="shared" si="5"/>
        <v>361.79455618076577</v>
      </c>
      <c r="T26" s="22">
        <f>'DW + LW'!E24</f>
        <v>406.00659657064472</v>
      </c>
      <c r="U26" s="1">
        <f t="shared" si="6"/>
        <v>44.21204038987895</v>
      </c>
      <c r="V26" s="1">
        <f t="shared" si="21"/>
        <v>-28.824021969285013</v>
      </c>
      <c r="W26" s="1">
        <f t="shared" si="22"/>
        <v>960.67387860856388</v>
      </c>
      <c r="X26" s="1">
        <f t="shared" si="15"/>
        <v>-14.618617499564241</v>
      </c>
      <c r="Y26" s="1">
        <f t="shared" si="7"/>
        <v>-43.442639468849251</v>
      </c>
      <c r="Z26" s="1">
        <f t="shared" si="16"/>
        <v>4491.150382495036</v>
      </c>
      <c r="AA26" s="1">
        <f t="shared" si="17"/>
        <v>-4206.9202126096598</v>
      </c>
      <c r="AB26" s="1">
        <f t="shared" si="18"/>
        <v>284.2301698853762</v>
      </c>
      <c r="AC26" s="242" t="s">
        <v>177</v>
      </c>
    </row>
    <row r="27" spans="1:29" x14ac:dyDescent="0.35">
      <c r="A27" s="241">
        <v>20</v>
      </c>
      <c r="B27" s="22">
        <f>'SW Buoyancy Cargo'!I31</f>
        <v>0.25290604923030618</v>
      </c>
      <c r="C27" s="1">
        <v>0</v>
      </c>
      <c r="D27" s="1">
        <f t="shared" si="1"/>
        <v>0</v>
      </c>
      <c r="E27" s="22">
        <v>0</v>
      </c>
      <c r="F27" s="1">
        <f t="shared" si="2"/>
        <v>0</v>
      </c>
      <c r="G27" s="1">
        <f t="shared" ca="1" si="8"/>
        <v>18.826400836488745</v>
      </c>
      <c r="H27" s="1">
        <f t="shared" ca="1" si="9"/>
        <v>1396.072105951901</v>
      </c>
      <c r="I27" s="1">
        <f t="shared" ca="1" si="10"/>
        <v>-18.826400836488745</v>
      </c>
      <c r="J27" s="1">
        <f ca="1">I27+G27</f>
        <v>0</v>
      </c>
      <c r="K27" s="1">
        <f t="shared" ca="1" si="11"/>
        <v>6526.6370953251371</v>
      </c>
      <c r="L27" s="1">
        <f t="shared" ca="1" si="12"/>
        <v>-6526.6370953251371</v>
      </c>
      <c r="M27" s="1">
        <f ca="1">K27+L27</f>
        <v>0</v>
      </c>
      <c r="P27" s="241">
        <v>20</v>
      </c>
      <c r="Q27" s="22">
        <f>'SW Buoyancy Ballast'!I31</f>
        <v>1.8413564452917079E-2</v>
      </c>
      <c r="R27" s="1">
        <v>0</v>
      </c>
      <c r="S27" s="1">
        <f t="shared" si="5"/>
        <v>0</v>
      </c>
      <c r="T27" s="22">
        <v>0</v>
      </c>
      <c r="U27" s="1">
        <f t="shared" si="6"/>
        <v>0</v>
      </c>
      <c r="V27" s="1">
        <f t="shared" si="21"/>
        <v>15.388018420593937</v>
      </c>
      <c r="W27" s="1">
        <f t="shared" si="22"/>
        <v>947.23787505987275</v>
      </c>
      <c r="X27" s="1">
        <f t="shared" si="15"/>
        <v>-15.388018420593937</v>
      </c>
      <c r="Y27" s="1">
        <f>X27+V27</f>
        <v>0</v>
      </c>
      <c r="Z27" s="1">
        <f t="shared" si="16"/>
        <v>4428.3370659049051</v>
      </c>
      <c r="AA27" s="1">
        <f t="shared" si="17"/>
        <v>-4428.3370659049051</v>
      </c>
      <c r="AB27" s="1">
        <f>Z27+AA27</f>
        <v>0</v>
      </c>
    </row>
    <row r="28" spans="1:29" x14ac:dyDescent="0.35">
      <c r="D28" s="1">
        <f>SUM(D7:D27)</f>
        <v>41870.736677176632</v>
      </c>
      <c r="E28" s="1">
        <f ca="1">SUM(E7:E27)</f>
        <v>41889.563078013125</v>
      </c>
      <c r="F28" s="1">
        <f ca="1">SUM(F7:F27)</f>
        <v>18.826400836488745</v>
      </c>
      <c r="G28" s="1">
        <f ca="1">SUM(G7:G27)</f>
        <v>707.44925339419433</v>
      </c>
      <c r="S28" s="1">
        <f>SUM(S7:S27)</f>
        <v>38055.077500186468</v>
      </c>
      <c r="T28" s="1">
        <f>SUM(T7:T27)</f>
        <v>38070.465518607059</v>
      </c>
      <c r="U28" s="1">
        <f>SUM(U7:U27)</f>
        <v>15.388018420593937</v>
      </c>
      <c r="V28" s="1">
        <f>SUM(V7:V27)</f>
        <v>481.31294674023349</v>
      </c>
    </row>
    <row r="32" spans="1:29" x14ac:dyDescent="0.35">
      <c r="A32" s="241" t="s">
        <v>492</v>
      </c>
      <c r="B32" s="1">
        <f>'SW Buoyancy Cargo'!E6</f>
        <v>9.35</v>
      </c>
    </row>
    <row r="33" spans="1:2" x14ac:dyDescent="0.35">
      <c r="A33" s="241" t="s">
        <v>542</v>
      </c>
      <c r="B33" s="1">
        <v>1.0249999999999999</v>
      </c>
    </row>
  </sheetData>
  <mergeCells count="3">
    <mergeCell ref="B1:L2"/>
    <mergeCell ref="B4:M4"/>
    <mergeCell ref="Q4:AB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647-EAA4-43FF-93E6-72FA8FB9A373}">
  <dimension ref="A1:Y32"/>
  <sheetViews>
    <sheetView topLeftCell="D23" zoomScale="76" zoomScaleNormal="76" workbookViewId="0">
      <selection activeCell="L8" sqref="L8"/>
    </sheetView>
  </sheetViews>
  <sheetFormatPr defaultRowHeight="14.5" x14ac:dyDescent="0.35"/>
  <cols>
    <col min="2" max="2" width="17.453125" bestFit="1" customWidth="1"/>
    <col min="3" max="3" width="18.7265625" bestFit="1" customWidth="1"/>
    <col min="12" max="12" width="16.26953125" bestFit="1" customWidth="1"/>
    <col min="25" max="25" width="17.26953125" bestFit="1" customWidth="1"/>
  </cols>
  <sheetData>
    <row r="1" spans="1:25" x14ac:dyDescent="0.35">
      <c r="B1" s="381" t="s">
        <v>543</v>
      </c>
      <c r="C1" s="381"/>
      <c r="D1" s="381"/>
      <c r="E1" s="381"/>
      <c r="F1" s="381"/>
      <c r="G1" s="381"/>
      <c r="H1" s="381"/>
      <c r="I1" s="381"/>
      <c r="J1" s="381"/>
      <c r="K1" s="381"/>
      <c r="L1" s="381"/>
    </row>
    <row r="2" spans="1:25" x14ac:dyDescent="0.35"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</row>
    <row r="5" spans="1:25" x14ac:dyDescent="0.35">
      <c r="B5" s="386" t="s">
        <v>357</v>
      </c>
      <c r="C5" s="386"/>
      <c r="D5" s="386"/>
      <c r="E5" s="386"/>
      <c r="F5" s="386"/>
      <c r="G5" s="386"/>
      <c r="H5" s="386"/>
      <c r="I5" s="386"/>
      <c r="J5" s="386"/>
      <c r="K5" s="386"/>
      <c r="L5" s="386"/>
      <c r="O5" s="383" t="s">
        <v>544</v>
      </c>
      <c r="P5" s="384"/>
      <c r="Q5" s="384"/>
      <c r="R5" s="384"/>
      <c r="S5" s="384"/>
      <c r="T5" s="384"/>
      <c r="U5" s="384"/>
      <c r="V5" s="384"/>
      <c r="W5" s="384"/>
      <c r="X5" s="384"/>
      <c r="Y5" s="385"/>
    </row>
    <row r="6" spans="1:25" x14ac:dyDescent="0.35">
      <c r="B6" s="243" t="s">
        <v>545</v>
      </c>
      <c r="C6" s="243" t="s">
        <v>546</v>
      </c>
      <c r="D6" s="243" t="s">
        <v>547</v>
      </c>
      <c r="E6" s="243" t="s">
        <v>548</v>
      </c>
      <c r="F6" s="243" t="s">
        <v>549</v>
      </c>
      <c r="G6" s="243" t="s">
        <v>550</v>
      </c>
      <c r="H6" s="243" t="s">
        <v>551</v>
      </c>
      <c r="I6" s="243" t="s">
        <v>552</v>
      </c>
      <c r="J6" s="243" t="s">
        <v>553</v>
      </c>
      <c r="K6" s="243" t="s">
        <v>554</v>
      </c>
      <c r="L6" s="243" t="s">
        <v>555</v>
      </c>
      <c r="O6" s="243" t="s">
        <v>545</v>
      </c>
      <c r="P6" s="243" t="s">
        <v>546</v>
      </c>
      <c r="Q6" s="243" t="s">
        <v>547</v>
      </c>
      <c r="R6" s="243" t="s">
        <v>548</v>
      </c>
      <c r="S6" s="243" t="s">
        <v>549</v>
      </c>
      <c r="T6" s="243" t="s">
        <v>550</v>
      </c>
      <c r="U6" s="243" t="s">
        <v>551</v>
      </c>
      <c r="V6" s="243" t="s">
        <v>556</v>
      </c>
      <c r="W6" s="243" t="s">
        <v>553</v>
      </c>
      <c r="X6" s="243" t="s">
        <v>554</v>
      </c>
      <c r="Y6" s="243" t="s">
        <v>557</v>
      </c>
    </row>
    <row r="7" spans="1:25" ht="15" thickBot="1" x14ac:dyDescent="0.4">
      <c r="A7" s="241" t="s">
        <v>530</v>
      </c>
      <c r="B7" s="244" t="s">
        <v>2</v>
      </c>
      <c r="C7" s="244" t="s">
        <v>96</v>
      </c>
      <c r="D7" s="244" t="s">
        <v>97</v>
      </c>
      <c r="E7" s="244" t="s">
        <v>5</v>
      </c>
      <c r="F7" s="244" t="s">
        <v>98</v>
      </c>
      <c r="G7" s="244" t="s">
        <v>99</v>
      </c>
      <c r="H7" s="244"/>
      <c r="I7" s="244"/>
      <c r="J7" s="244"/>
      <c r="K7" s="244"/>
      <c r="L7" s="244"/>
      <c r="N7" s="241" t="s">
        <v>530</v>
      </c>
      <c r="O7" s="245" t="s">
        <v>2</v>
      </c>
      <c r="P7" s="244" t="s">
        <v>96</v>
      </c>
      <c r="Q7" s="244" t="s">
        <v>97</v>
      </c>
      <c r="R7" s="244" t="s">
        <v>5</v>
      </c>
      <c r="S7" s="244" t="s">
        <v>98</v>
      </c>
      <c r="T7" s="244" t="s">
        <v>99</v>
      </c>
      <c r="U7" s="244"/>
      <c r="V7" s="244"/>
      <c r="W7" s="244"/>
      <c r="X7" s="244"/>
      <c r="Y7" s="244"/>
    </row>
    <row r="8" spans="1:25" ht="15" thickBot="1" x14ac:dyDescent="0.4">
      <c r="A8" s="240">
        <v>0</v>
      </c>
      <c r="B8" s="246">
        <f>'SF and BM (Still Water)'!B7</f>
        <v>7.9573071710691945</v>
      </c>
      <c r="C8" s="247">
        <f>'SW Buoyancy Sagging Cargo'!AB12</f>
        <v>14.313368232917934</v>
      </c>
      <c r="D8" s="248">
        <f>B8-C8</f>
        <v>-6.3560610618487399</v>
      </c>
      <c r="E8" s="248">
        <v>0</v>
      </c>
      <c r="F8" s="248">
        <v>0</v>
      </c>
      <c r="G8" s="248">
        <f>0.5*$B$31*$B$32*E8</f>
        <v>0</v>
      </c>
      <c r="H8" s="248">
        <f>-$G$28*A8/20</f>
        <v>0</v>
      </c>
      <c r="I8" s="248">
        <f>H8+G8</f>
        <v>0</v>
      </c>
      <c r="J8" s="248">
        <f>F8*0.25*($B$31^2)*$B$32</f>
        <v>0</v>
      </c>
      <c r="K8" s="248">
        <f>-$J$28*A8/20</f>
        <v>0</v>
      </c>
      <c r="L8" s="249">
        <f>K8+J8</f>
        <v>0</v>
      </c>
      <c r="N8" s="240">
        <v>0</v>
      </c>
      <c r="O8" s="246">
        <f>'SF and BM (Still Water)'!Q7</f>
        <v>4.0889651818162909</v>
      </c>
      <c r="P8" s="248">
        <f>'SW Buoyancy Sagging Ballast'!AB12</f>
        <v>8.6054207623531429</v>
      </c>
      <c r="Q8" s="248">
        <f>O8-P8</f>
        <v>-4.516455580536852</v>
      </c>
      <c r="R8" s="248">
        <v>0</v>
      </c>
      <c r="S8" s="248">
        <v>0</v>
      </c>
      <c r="T8" s="248">
        <f>0.5*$B$31*$B$32*R8</f>
        <v>0</v>
      </c>
      <c r="U8" s="248">
        <f>-$T$28*N8/20</f>
        <v>0</v>
      </c>
      <c r="V8" s="248">
        <f>U8+T8</f>
        <v>0</v>
      </c>
      <c r="W8" s="248">
        <f>S8*0.25*($B$31^2)*$B$32</f>
        <v>0</v>
      </c>
      <c r="X8" s="248">
        <f>-$W$28*N8/20</f>
        <v>0</v>
      </c>
      <c r="Y8" s="249">
        <f>X8+W8</f>
        <v>0</v>
      </c>
    </row>
    <row r="9" spans="1:25" ht="15" thickBot="1" x14ac:dyDescent="0.4">
      <c r="A9" s="240">
        <v>1</v>
      </c>
      <c r="B9" s="246">
        <f>'SF and BM (Still Water)'!B8</f>
        <v>54.731849153918304</v>
      </c>
      <c r="C9" s="247">
        <f>'SW Buoyancy Sagging Cargo'!AB13</f>
        <v>68.230666366431336</v>
      </c>
      <c r="D9" s="205">
        <f t="shared" ref="D9:D28" si="0">B9-C9</f>
        <v>-13.498817212513032</v>
      </c>
      <c r="E9" s="205">
        <f>D9+D8+E8</f>
        <v>-19.854878274361774</v>
      </c>
      <c r="F9" s="205">
        <f>E9+E8+F8</f>
        <v>-19.854878274361774</v>
      </c>
      <c r="G9" s="205">
        <f t="shared" ref="G9:G28" si="1">0.5*$B$31*$B$32*E9</f>
        <v>-95.142094830957305</v>
      </c>
      <c r="H9" s="205">
        <f>-$G$28*A9/20</f>
        <v>0.94131260931695437</v>
      </c>
      <c r="I9" s="205">
        <f t="shared" ref="I9:I28" si="2">H9+G9</f>
        <v>-94.200782221640353</v>
      </c>
      <c r="J9" s="205">
        <f>F9*0.25*($B$31^2)*$B$32</f>
        <v>-444.78929333472541</v>
      </c>
      <c r="K9" s="205">
        <f>-$J$28*A9/20</f>
        <v>8.6553979621455372</v>
      </c>
      <c r="L9" s="216">
        <f t="shared" ref="L9:L28" si="3">K9+J9</f>
        <v>-436.1338953725799</v>
      </c>
      <c r="N9" s="240">
        <v>1</v>
      </c>
      <c r="O9" s="246">
        <f>'SF and BM (Still Water)'!Q8</f>
        <v>43.402784814125312</v>
      </c>
      <c r="P9" s="248">
        <f>'SW Buoyancy Sagging Ballast'!AB13</f>
        <v>55.130430563782504</v>
      </c>
      <c r="Q9" s="205">
        <f t="shared" ref="Q9:Q28" si="4">O9-P9</f>
        <v>-11.727645749657192</v>
      </c>
      <c r="R9" s="205">
        <f>Q9+Q8+R8</f>
        <v>-16.244101330194045</v>
      </c>
      <c r="S9" s="205">
        <f>R9+R8+S8</f>
        <v>-16.244101330194045</v>
      </c>
      <c r="T9" s="205">
        <f t="shared" ref="T9:T28" si="5">0.5*$B$31*$B$32*R9</f>
        <v>-77.839703061623581</v>
      </c>
      <c r="U9" s="205">
        <f t="shared" ref="U9:U28" si="6">-$T$28*N9/20</f>
        <v>0.76940144767600349</v>
      </c>
      <c r="V9" s="205">
        <f t="shared" ref="V9:V28" si="7">U9+T9</f>
        <v>-77.070301613947578</v>
      </c>
      <c r="W9" s="205">
        <f>S9*0.25*($B$31^2)*$B$32</f>
        <v>-363.90061181309022</v>
      </c>
      <c r="X9" s="205">
        <f t="shared" ref="X9:X28" si="8">-$W$28*N9/20</f>
        <v>25.857951138673933</v>
      </c>
      <c r="Y9" s="216">
        <f t="shared" ref="Y9:Y28" si="9">X9+W9</f>
        <v>-338.04266067441631</v>
      </c>
    </row>
    <row r="10" spans="1:25" ht="15" thickBot="1" x14ac:dyDescent="0.4">
      <c r="A10" s="240">
        <v>2</v>
      </c>
      <c r="B10" s="246">
        <f>'SF and BM (Still Water)'!B9</f>
        <v>116.7043374581293</v>
      </c>
      <c r="C10" s="247">
        <f>'SW Buoyancy Sagging Cargo'!AB14</f>
        <v>133.15851967671702</v>
      </c>
      <c r="D10" s="205">
        <f t="shared" si="0"/>
        <v>-16.454182218587718</v>
      </c>
      <c r="E10" s="205">
        <f t="shared" ref="E10:F25" si="10">D10+D9+E9</f>
        <v>-49.807877705462523</v>
      </c>
      <c r="F10" s="205">
        <f t="shared" si="10"/>
        <v>-89.517634254186078</v>
      </c>
      <c r="G10" s="205">
        <f t="shared" si="1"/>
        <v>-238.67312397986319</v>
      </c>
      <c r="H10" s="205">
        <f t="shared" ref="H10:H28" si="11">-$G$28*A10/20</f>
        <v>1.8826252186339087</v>
      </c>
      <c r="I10" s="205">
        <f t="shared" si="2"/>
        <v>-236.79049876122929</v>
      </c>
      <c r="J10" s="205">
        <f t="shared" ref="J10:J28" si="12">F10*0.25*($B$31^2)*$B$32</f>
        <v>-2005.3754412753115</v>
      </c>
      <c r="K10" s="205">
        <f t="shared" ref="K10:K28" si="13">-$J$28*A10/20</f>
        <v>17.310795924291074</v>
      </c>
      <c r="L10" s="216">
        <f t="shared" si="3"/>
        <v>-1988.0646453510203</v>
      </c>
      <c r="N10" s="240">
        <v>2</v>
      </c>
      <c r="O10" s="246">
        <f>'SF and BM (Still Water)'!Q9</f>
        <v>99.078676376050836</v>
      </c>
      <c r="P10" s="248">
        <f>'SW Buoyancy Sagging Ballast'!AB14</f>
        <v>114.90853896044123</v>
      </c>
      <c r="Q10" s="205">
        <f t="shared" si="4"/>
        <v>-15.829862584390398</v>
      </c>
      <c r="R10" s="205">
        <f t="shared" ref="R10:S25" si="14">Q10+Q9+R9</f>
        <v>-43.801609664241639</v>
      </c>
      <c r="S10" s="205">
        <f t="shared" si="14"/>
        <v>-76.289812324629722</v>
      </c>
      <c r="T10" s="205">
        <f t="shared" si="5"/>
        <v>-209.89183830983788</v>
      </c>
      <c r="U10" s="205">
        <f t="shared" si="6"/>
        <v>1.538802895352007</v>
      </c>
      <c r="V10" s="205">
        <f t="shared" si="7"/>
        <v>-208.35303541448587</v>
      </c>
      <c r="W10" s="205">
        <f t="shared" ref="W10:W28" si="15">S10*0.25*($B$31^2)*$B$32</f>
        <v>-1709.0455677246725</v>
      </c>
      <c r="X10" s="205">
        <f t="shared" si="8"/>
        <v>51.715902277347865</v>
      </c>
      <c r="Y10" s="216">
        <f t="shared" si="9"/>
        <v>-1657.3296654473247</v>
      </c>
    </row>
    <row r="11" spans="1:25" ht="15" thickBot="1" x14ac:dyDescent="0.4">
      <c r="A11" s="240">
        <v>3</v>
      </c>
      <c r="B11" s="246">
        <f>'SF and BM (Still Water)'!B10</f>
        <v>175.44239732314989</v>
      </c>
      <c r="C11" s="247">
        <f>'SW Buoyancy Sagging Cargo'!AB15</f>
        <v>191.04245724949482</v>
      </c>
      <c r="D11" s="205">
        <f t="shared" si="0"/>
        <v>-15.600059926344926</v>
      </c>
      <c r="E11" s="205">
        <f t="shared" si="10"/>
        <v>-81.862119850395175</v>
      </c>
      <c r="F11" s="205">
        <f t="shared" si="10"/>
        <v>-221.18763181004377</v>
      </c>
      <c r="G11" s="205">
        <f t="shared" si="1"/>
        <v>-392.2730455581123</v>
      </c>
      <c r="H11" s="205">
        <f t="shared" si="11"/>
        <v>2.8239378279508629</v>
      </c>
      <c r="I11" s="205">
        <f t="shared" si="2"/>
        <v>-389.44910773016142</v>
      </c>
      <c r="J11" s="205">
        <f t="shared" si="12"/>
        <v>-4955.0487838653471</v>
      </c>
      <c r="K11" s="205">
        <f t="shared" si="13"/>
        <v>25.96619388643661</v>
      </c>
      <c r="L11" s="216">
        <f t="shared" si="3"/>
        <v>-4929.0825899789106</v>
      </c>
      <c r="N11" s="240">
        <v>3</v>
      </c>
      <c r="O11" s="246">
        <f>'SF and BM (Still Water)'!Q10</f>
        <v>153.52025997601754</v>
      </c>
      <c r="P11" s="248">
        <f>'SW Buoyancy Sagging Ballast'!AB15</f>
        <v>169.42702222108426</v>
      </c>
      <c r="Q11" s="205">
        <f t="shared" si="4"/>
        <v>-15.906762245066716</v>
      </c>
      <c r="R11" s="205">
        <f t="shared" si="14"/>
        <v>-75.538234493698752</v>
      </c>
      <c r="S11" s="205">
        <f t="shared" si="14"/>
        <v>-195.62965648257011</v>
      </c>
      <c r="T11" s="205">
        <f t="shared" si="5"/>
        <v>-361.96977741449263</v>
      </c>
      <c r="U11" s="205">
        <f t="shared" si="6"/>
        <v>2.3082043430280104</v>
      </c>
      <c r="V11" s="205">
        <f t="shared" si="7"/>
        <v>-359.6615730714646</v>
      </c>
      <c r="W11" s="205">
        <f t="shared" si="15"/>
        <v>-4382.4986212359181</v>
      </c>
      <c r="X11" s="205">
        <f t="shared" si="8"/>
        <v>77.573853416021805</v>
      </c>
      <c r="Y11" s="216">
        <f t="shared" si="9"/>
        <v>-4304.9247678198963</v>
      </c>
    </row>
    <row r="12" spans="1:25" ht="15" thickBot="1" x14ac:dyDescent="0.4">
      <c r="A12" s="240">
        <v>4</v>
      </c>
      <c r="B12" s="246">
        <f>'SF and BM (Still Water)'!B11</f>
        <v>223.95880482300416</v>
      </c>
      <c r="C12" s="247">
        <f>'SW Buoyancy Sagging Cargo'!AB16</f>
        <v>235.04913025641397</v>
      </c>
      <c r="D12" s="205">
        <f t="shared" si="0"/>
        <v>-11.090325433409816</v>
      </c>
      <c r="E12" s="205">
        <f t="shared" si="10"/>
        <v>-108.55250521014992</v>
      </c>
      <c r="F12" s="205">
        <f t="shared" si="10"/>
        <v>-411.60225687058886</v>
      </c>
      <c r="G12" s="205">
        <f t="shared" si="1"/>
        <v>-520.17003590388708</v>
      </c>
      <c r="H12" s="205">
        <f t="shared" si="11"/>
        <v>3.7652504372678175</v>
      </c>
      <c r="I12" s="205">
        <f t="shared" si="2"/>
        <v>-516.40478546661927</v>
      </c>
      <c r="J12" s="205">
        <f t="shared" si="12"/>
        <v>-9220.7201897001942</v>
      </c>
      <c r="K12" s="205">
        <f t="shared" si="13"/>
        <v>34.621591848582149</v>
      </c>
      <c r="L12" s="216">
        <f t="shared" si="3"/>
        <v>-9186.0985978516128</v>
      </c>
      <c r="N12" s="240">
        <v>4</v>
      </c>
      <c r="O12" s="246">
        <f>'SF and BM (Still Water)'!Q11</f>
        <v>199.68277745177912</v>
      </c>
      <c r="P12" s="248">
        <f>'SW Buoyancy Sagging Ballast'!AB16</f>
        <v>211.58519323126293</v>
      </c>
      <c r="Q12" s="205">
        <f t="shared" si="4"/>
        <v>-11.902415779483817</v>
      </c>
      <c r="R12" s="205">
        <f t="shared" si="14"/>
        <v>-103.34741251824929</v>
      </c>
      <c r="S12" s="205">
        <f t="shared" si="14"/>
        <v>-374.51530349451815</v>
      </c>
      <c r="T12" s="205">
        <f t="shared" si="5"/>
        <v>-495.2278823608857</v>
      </c>
      <c r="U12" s="205">
        <f t="shared" si="6"/>
        <v>3.077605790704014</v>
      </c>
      <c r="V12" s="205">
        <f t="shared" si="7"/>
        <v>-492.15027657018169</v>
      </c>
      <c r="W12" s="205">
        <f t="shared" si="15"/>
        <v>-8389.8976806858118</v>
      </c>
      <c r="X12" s="205">
        <f t="shared" si="8"/>
        <v>103.43180455469573</v>
      </c>
      <c r="Y12" s="216">
        <f t="shared" si="9"/>
        <v>-8286.4658761311166</v>
      </c>
    </row>
    <row r="13" spans="1:25" ht="15" thickBot="1" x14ac:dyDescent="0.4">
      <c r="A13" s="240">
        <v>5</v>
      </c>
      <c r="B13" s="246">
        <f>'SF and BM (Still Water)'!B12</f>
        <v>258.45267415000603</v>
      </c>
      <c r="C13" s="247">
        <f>'SW Buoyancy Sagging Cargo'!AB17</f>
        <v>262.65586923806472</v>
      </c>
      <c r="D13" s="205">
        <f t="shared" si="0"/>
        <v>-4.2031950880586919</v>
      </c>
      <c r="E13" s="205">
        <f t="shared" si="10"/>
        <v>-123.84602573161843</v>
      </c>
      <c r="F13" s="205">
        <f t="shared" si="10"/>
        <v>-644.0007878123572</v>
      </c>
      <c r="G13" s="205">
        <f t="shared" si="1"/>
        <v>-593.45467455269898</v>
      </c>
      <c r="H13" s="205">
        <f t="shared" si="11"/>
        <v>4.7065630465847716</v>
      </c>
      <c r="I13" s="205">
        <f t="shared" si="2"/>
        <v>-588.74811150611424</v>
      </c>
      <c r="J13" s="205">
        <f t="shared" si="12"/>
        <v>-14426.915711084734</v>
      </c>
      <c r="K13" s="205">
        <f t="shared" si="13"/>
        <v>43.276989810727684</v>
      </c>
      <c r="L13" s="216">
        <f t="shared" si="3"/>
        <v>-14383.638721274006</v>
      </c>
      <c r="N13" s="240">
        <v>5</v>
      </c>
      <c r="O13" s="246">
        <f>'SF and BM (Still Water)'!Q12</f>
        <v>233.29763157002154</v>
      </c>
      <c r="P13" s="248">
        <f>'SW Buoyancy Sagging Ballast'!AB17</f>
        <v>238.4191184683603</v>
      </c>
      <c r="Q13" s="205">
        <f t="shared" si="4"/>
        <v>-5.1214868983387589</v>
      </c>
      <c r="R13" s="205">
        <f t="shared" si="14"/>
        <v>-120.37131519607186</v>
      </c>
      <c r="S13" s="205">
        <f t="shared" si="14"/>
        <v>-598.23403120883927</v>
      </c>
      <c r="T13" s="205">
        <f t="shared" si="5"/>
        <v>-576.80429600517675</v>
      </c>
      <c r="U13" s="205">
        <f t="shared" si="6"/>
        <v>3.8470072383800171</v>
      </c>
      <c r="V13" s="205">
        <f t="shared" si="7"/>
        <v>-572.95728876679675</v>
      </c>
      <c r="W13" s="205">
        <f t="shared" si="15"/>
        <v>-13401.648114547153</v>
      </c>
      <c r="X13" s="205">
        <f t="shared" si="8"/>
        <v>129.28975569336967</v>
      </c>
      <c r="Y13" s="216">
        <f t="shared" si="9"/>
        <v>-13272.358358853784</v>
      </c>
    </row>
    <row r="14" spans="1:25" ht="15" thickBot="1" x14ac:dyDescent="0.4">
      <c r="A14" s="240">
        <v>6</v>
      </c>
      <c r="B14" s="246">
        <f>'SF and BM (Still Water)'!B13</f>
        <v>278.18082659844436</v>
      </c>
      <c r="C14" s="247">
        <f>'SW Buoyancy Sagging Cargo'!AB18</f>
        <v>274.64111893942248</v>
      </c>
      <c r="D14" s="205">
        <f t="shared" si="0"/>
        <v>3.5397076590218717</v>
      </c>
      <c r="E14" s="205">
        <f t="shared" si="10"/>
        <v>-124.50951316065525</v>
      </c>
      <c r="F14" s="205">
        <f t="shared" si="10"/>
        <v>-892.35632670463087</v>
      </c>
      <c r="G14" s="205">
        <f t="shared" si="1"/>
        <v>-596.63402337671471</v>
      </c>
      <c r="H14" s="205">
        <f t="shared" si="11"/>
        <v>5.6478756559017258</v>
      </c>
      <c r="I14" s="205">
        <f t="shared" si="2"/>
        <v>-590.98614772081294</v>
      </c>
      <c r="J14" s="205">
        <f t="shared" si="12"/>
        <v>-19990.580373904744</v>
      </c>
      <c r="K14" s="205">
        <f t="shared" si="13"/>
        <v>51.93238777287322</v>
      </c>
      <c r="L14" s="216">
        <f t="shared" si="3"/>
        <v>-19938.647986131869</v>
      </c>
      <c r="N14" s="240">
        <v>6</v>
      </c>
      <c r="O14" s="246">
        <f>'SF and BM (Still Water)'!Q13</f>
        <v>253.0823262936276</v>
      </c>
      <c r="P14" s="248">
        <f>'SW Buoyancy Sagging Ballast'!AB18</f>
        <v>250.35221530739094</v>
      </c>
      <c r="Q14" s="205">
        <f t="shared" si="4"/>
        <v>2.7301109862366673</v>
      </c>
      <c r="R14" s="205">
        <f t="shared" si="14"/>
        <v>-122.76269110817395</v>
      </c>
      <c r="S14" s="205">
        <f t="shared" si="14"/>
        <v>-841.36803751308503</v>
      </c>
      <c r="T14" s="205">
        <f t="shared" si="5"/>
        <v>-588.26347045398097</v>
      </c>
      <c r="U14" s="205">
        <f t="shared" si="6"/>
        <v>4.6164086860560207</v>
      </c>
      <c r="V14" s="205">
        <f t="shared" si="7"/>
        <v>-583.64706176792492</v>
      </c>
      <c r="W14" s="205">
        <f t="shared" si="15"/>
        <v>-18848.339922743715</v>
      </c>
      <c r="X14" s="205">
        <f t="shared" si="8"/>
        <v>155.14770683204361</v>
      </c>
      <c r="Y14" s="216">
        <f t="shared" si="9"/>
        <v>-18693.192215911673</v>
      </c>
    </row>
    <row r="15" spans="1:25" ht="15" thickBot="1" x14ac:dyDescent="0.4">
      <c r="A15" s="240">
        <v>7</v>
      </c>
      <c r="B15" s="246">
        <f>'SF and BM (Still Water)'!B14</f>
        <v>286.46865029030431</v>
      </c>
      <c r="C15" s="247">
        <f>'SW Buoyancy Sagging Cargo'!AB19</f>
        <v>275.15309419796495</v>
      </c>
      <c r="D15" s="205">
        <f t="shared" si="0"/>
        <v>11.315556092339364</v>
      </c>
      <c r="E15" s="205">
        <f t="shared" si="10"/>
        <v>-109.65424940929401</v>
      </c>
      <c r="F15" s="205">
        <f t="shared" si="10"/>
        <v>-1126.5200892745802</v>
      </c>
      <c r="G15" s="205">
        <f t="shared" si="1"/>
        <v>-525.44945638816068</v>
      </c>
      <c r="H15" s="205">
        <f t="shared" si="11"/>
        <v>6.5891882652186808</v>
      </c>
      <c r="I15" s="205">
        <f t="shared" si="2"/>
        <v>-518.86026812294199</v>
      </c>
      <c r="J15" s="205">
        <f t="shared" si="12"/>
        <v>-25236.320641805538</v>
      </c>
      <c r="K15" s="205">
        <f t="shared" si="13"/>
        <v>60.587785735018755</v>
      </c>
      <c r="L15" s="216">
        <f t="shared" si="3"/>
        <v>-25175.732856070521</v>
      </c>
      <c r="N15" s="240">
        <v>7</v>
      </c>
      <c r="O15" s="246">
        <f>'SF and BM (Still Water)'!Q14</f>
        <v>261.60400059977781</v>
      </c>
      <c r="P15" s="248">
        <f>'SW Buoyancy Sagging Ballast'!AB19</f>
        <v>250.98943057101604</v>
      </c>
      <c r="Q15" s="205">
        <f t="shared" si="4"/>
        <v>10.614570028761761</v>
      </c>
      <c r="R15" s="205">
        <f t="shared" si="14"/>
        <v>-109.41801009317552</v>
      </c>
      <c r="S15" s="205">
        <f t="shared" si="14"/>
        <v>-1073.5487387144344</v>
      </c>
      <c r="T15" s="205">
        <f t="shared" si="5"/>
        <v>-524.31742711523543</v>
      </c>
      <c r="U15" s="205">
        <f t="shared" si="6"/>
        <v>5.3858101337320248</v>
      </c>
      <c r="V15" s="205">
        <f t="shared" si="7"/>
        <v>-518.93161698150345</v>
      </c>
      <c r="W15" s="205">
        <f t="shared" si="15"/>
        <v>-24049.655618879802</v>
      </c>
      <c r="X15" s="205">
        <f t="shared" si="8"/>
        <v>181.00565797071755</v>
      </c>
      <c r="Y15" s="216">
        <f t="shared" si="9"/>
        <v>-23868.649960909086</v>
      </c>
    </row>
    <row r="16" spans="1:25" ht="15" thickBot="1" x14ac:dyDescent="0.4">
      <c r="A16" s="240">
        <v>8</v>
      </c>
      <c r="B16" s="246">
        <f>'SF and BM (Still Water)'!B15</f>
        <v>288.04436119400719</v>
      </c>
      <c r="C16" s="247">
        <f>'SW Buoyancy Sagging Cargo'!AB20</f>
        <v>270.03283723902393</v>
      </c>
      <c r="D16" s="205">
        <f t="shared" si="0"/>
        <v>18.011523954983261</v>
      </c>
      <c r="E16" s="205">
        <f t="shared" si="10"/>
        <v>-80.327169361971386</v>
      </c>
      <c r="F16" s="205">
        <f t="shared" si="10"/>
        <v>-1316.5015080458456</v>
      </c>
      <c r="G16" s="205">
        <f t="shared" si="1"/>
        <v>-384.91775468639656</v>
      </c>
      <c r="H16" s="205">
        <f t="shared" si="11"/>
        <v>7.530500874535635</v>
      </c>
      <c r="I16" s="205">
        <f t="shared" si="2"/>
        <v>-377.38725381186094</v>
      </c>
      <c r="J16" s="205">
        <f t="shared" si="12"/>
        <v>-29492.287353579093</v>
      </c>
      <c r="K16" s="205">
        <f t="shared" si="13"/>
        <v>69.243183697164298</v>
      </c>
      <c r="L16" s="216">
        <f t="shared" si="3"/>
        <v>-29423.04416988193</v>
      </c>
      <c r="N16" s="240">
        <v>8</v>
      </c>
      <c r="O16" s="246">
        <f>'SF and BM (Still Water)'!Q15</f>
        <v>263.50846183417821</v>
      </c>
      <c r="P16" s="248">
        <f>'SW Buoyancy Sagging Ballast'!AB20</f>
        <v>246.08400787335538</v>
      </c>
      <c r="Q16" s="205">
        <f t="shared" si="4"/>
        <v>17.424453960822831</v>
      </c>
      <c r="R16" s="205">
        <f t="shared" si="14"/>
        <v>-81.378986103590933</v>
      </c>
      <c r="S16" s="205">
        <f t="shared" si="14"/>
        <v>-1264.3457349112009</v>
      </c>
      <c r="T16" s="205">
        <f t="shared" si="5"/>
        <v>-389.95792903514473</v>
      </c>
      <c r="U16" s="205">
        <f t="shared" si="6"/>
        <v>6.1552115814080279</v>
      </c>
      <c r="V16" s="205">
        <f t="shared" si="7"/>
        <v>-383.8027174537367</v>
      </c>
      <c r="W16" s="205">
        <f t="shared" si="15"/>
        <v>-28323.89290888283</v>
      </c>
      <c r="X16" s="205">
        <f t="shared" si="8"/>
        <v>206.86360910939146</v>
      </c>
      <c r="Y16" s="216">
        <f t="shared" si="9"/>
        <v>-28117.02929977344</v>
      </c>
    </row>
    <row r="17" spans="1:25" ht="15" thickBot="1" x14ac:dyDescent="0.4">
      <c r="A17" s="240">
        <v>9</v>
      </c>
      <c r="B17" s="246">
        <f>'SF and BM (Still Water)'!B16</f>
        <v>287.67464112129136</v>
      </c>
      <c r="C17" s="247">
        <f>'SW Buoyancy Sagging Cargo'!AB21</f>
        <v>265.03391242241906</v>
      </c>
      <c r="D17" s="205">
        <f t="shared" si="0"/>
        <v>22.640728698872294</v>
      </c>
      <c r="E17" s="205">
        <f t="shared" si="10"/>
        <v>-39.67491670811583</v>
      </c>
      <c r="F17" s="205">
        <f t="shared" si="10"/>
        <v>-1436.5035941159329</v>
      </c>
      <c r="G17" s="205">
        <f t="shared" si="1"/>
        <v>-190.11724150070251</v>
      </c>
      <c r="H17" s="205">
        <f t="shared" si="11"/>
        <v>8.4718134838525891</v>
      </c>
      <c r="I17" s="205">
        <f t="shared" si="2"/>
        <v>-181.64542801684991</v>
      </c>
      <c r="J17" s="205">
        <f t="shared" si="12"/>
        <v>-32180.575960753784</v>
      </c>
      <c r="K17" s="205">
        <f t="shared" si="13"/>
        <v>77.898581659309826</v>
      </c>
      <c r="L17" s="216">
        <f t="shared" si="3"/>
        <v>-32102.677379094475</v>
      </c>
      <c r="N17" s="240">
        <v>9</v>
      </c>
      <c r="O17" s="246">
        <f>'SF and BM (Still Water)'!Q16</f>
        <v>263.44662941536632</v>
      </c>
      <c r="P17" s="248">
        <f>'SW Buoyancy Sagging Ballast'!AB21</f>
        <v>241.28394903344136</v>
      </c>
      <c r="Q17" s="205">
        <f t="shared" si="4"/>
        <v>22.162680381924957</v>
      </c>
      <c r="R17" s="205">
        <f t="shared" si="14"/>
        <v>-41.791851760843144</v>
      </c>
      <c r="S17" s="205">
        <f t="shared" si="14"/>
        <v>-1387.516572775635</v>
      </c>
      <c r="T17" s="205">
        <f t="shared" si="5"/>
        <v>-200.2613296564902</v>
      </c>
      <c r="U17" s="205">
        <f t="shared" si="6"/>
        <v>6.9246130290840311</v>
      </c>
      <c r="V17" s="205">
        <f t="shared" si="7"/>
        <v>-193.33671662740616</v>
      </c>
      <c r="W17" s="205">
        <f t="shared" si="15"/>
        <v>-31083.167943266224</v>
      </c>
      <c r="X17" s="205">
        <f t="shared" si="8"/>
        <v>232.7215602480654</v>
      </c>
      <c r="Y17" s="216">
        <f t="shared" si="9"/>
        <v>-30850.446383018159</v>
      </c>
    </row>
    <row r="18" spans="1:25" ht="15" thickBot="1" x14ac:dyDescent="0.4">
      <c r="A18" s="240">
        <v>10</v>
      </c>
      <c r="B18" s="246">
        <f>'SF and BM (Still Water)'!B17</f>
        <v>287.304989108418</v>
      </c>
      <c r="C18" s="247">
        <f>'SW Buoyancy Sagging Cargo'!AB22</f>
        <v>263.1524669609463</v>
      </c>
      <c r="D18" s="205">
        <f t="shared" si="0"/>
        <v>24.1525221474717</v>
      </c>
      <c r="E18" s="205">
        <f t="shared" si="10"/>
        <v>7.118334138228164</v>
      </c>
      <c r="F18" s="205">
        <f t="shared" si="10"/>
        <v>-1469.0601766858206</v>
      </c>
      <c r="G18" s="205">
        <f t="shared" si="1"/>
        <v>34.110167398622075</v>
      </c>
      <c r="H18" s="205">
        <f t="shared" si="11"/>
        <v>9.4131260931695433</v>
      </c>
      <c r="I18" s="205">
        <f t="shared" si="2"/>
        <v>43.52329349179162</v>
      </c>
      <c r="J18" s="205">
        <f t="shared" si="12"/>
        <v>-32909.909032181014</v>
      </c>
      <c r="K18" s="205">
        <f t="shared" si="13"/>
        <v>86.553979621455369</v>
      </c>
      <c r="L18" s="216">
        <f t="shared" si="3"/>
        <v>-32823.355052559556</v>
      </c>
      <c r="N18" s="240">
        <v>10</v>
      </c>
      <c r="O18" s="246">
        <f>'SF and BM (Still Water)'!Q17</f>
        <v>263.38482198336129</v>
      </c>
      <c r="P18" s="248">
        <f>'SW Buoyancy Sagging Ballast'!AB22</f>
        <v>239.60320596917862</v>
      </c>
      <c r="Q18" s="205">
        <f t="shared" si="4"/>
        <v>23.781616014182674</v>
      </c>
      <c r="R18" s="205">
        <f t="shared" si="14"/>
        <v>4.1524446352644873</v>
      </c>
      <c r="S18" s="205">
        <f t="shared" si="14"/>
        <v>-1425.1559799012136</v>
      </c>
      <c r="T18" s="205">
        <f t="shared" si="5"/>
        <v>19.897995636608012</v>
      </c>
      <c r="U18" s="205">
        <f t="shared" si="6"/>
        <v>7.6940144767600342</v>
      </c>
      <c r="V18" s="205">
        <f t="shared" si="7"/>
        <v>27.592010113368048</v>
      </c>
      <c r="W18" s="205">
        <f t="shared" si="15"/>
        <v>-31926.366529809173</v>
      </c>
      <c r="X18" s="205">
        <f t="shared" si="8"/>
        <v>258.57951138673934</v>
      </c>
      <c r="Y18" s="216">
        <f t="shared" si="9"/>
        <v>-31667.787018422434</v>
      </c>
    </row>
    <row r="19" spans="1:25" ht="15" thickBot="1" x14ac:dyDescent="0.4">
      <c r="A19" s="240">
        <v>11</v>
      </c>
      <c r="B19" s="246">
        <f>'SF and BM (Still Water)'!B18</f>
        <v>286.93540577148423</v>
      </c>
      <c r="C19" s="247">
        <f>'SW Buoyancy Sagging Cargo'!AB23</f>
        <v>264.90733259699277</v>
      </c>
      <c r="D19" s="205">
        <f t="shared" si="0"/>
        <v>22.028073174491453</v>
      </c>
      <c r="E19" s="205">
        <f t="shared" si="10"/>
        <v>53.298929460191317</v>
      </c>
      <c r="F19" s="205">
        <f t="shared" si="10"/>
        <v>-1408.6429130874012</v>
      </c>
      <c r="G19" s="205">
        <f t="shared" si="1"/>
        <v>255.40180760705422</v>
      </c>
      <c r="H19" s="205">
        <f t="shared" si="11"/>
        <v>10.354438702486497</v>
      </c>
      <c r="I19" s="205">
        <f t="shared" si="2"/>
        <v>265.7562463095407</v>
      </c>
      <c r="J19" s="205">
        <f t="shared" si="12"/>
        <v>-31556.440549029478</v>
      </c>
      <c r="K19" s="205">
        <f t="shared" si="13"/>
        <v>95.209377583600912</v>
      </c>
      <c r="L19" s="216">
        <f t="shared" si="3"/>
        <v>-31461.231171445877</v>
      </c>
      <c r="N19" s="240">
        <v>11</v>
      </c>
      <c r="O19" s="246">
        <f>'SF and BM (Still Water)'!Q18</f>
        <v>263.32303956347505</v>
      </c>
      <c r="P19" s="248">
        <f>'SW Buoyancy Sagging Ballast'!AB23</f>
        <v>241.56246432032984</v>
      </c>
      <c r="Q19" s="205">
        <f t="shared" si="4"/>
        <v>21.760575243145212</v>
      </c>
      <c r="R19" s="205">
        <f t="shared" si="14"/>
        <v>49.694635892592373</v>
      </c>
      <c r="S19" s="205">
        <f t="shared" si="14"/>
        <v>-1371.3088993733568</v>
      </c>
      <c r="T19" s="205">
        <f t="shared" si="5"/>
        <v>238.13048336781603</v>
      </c>
      <c r="U19" s="205">
        <f t="shared" si="6"/>
        <v>8.4634159244360383</v>
      </c>
      <c r="V19" s="205">
        <f t="shared" si="7"/>
        <v>246.59389929225208</v>
      </c>
      <c r="W19" s="205">
        <f t="shared" si="15"/>
        <v>-30720.083390463486</v>
      </c>
      <c r="X19" s="205">
        <f t="shared" si="8"/>
        <v>284.43746252541325</v>
      </c>
      <c r="Y19" s="216">
        <f t="shared" si="9"/>
        <v>-30435.645927938072</v>
      </c>
    </row>
    <row r="20" spans="1:25" ht="15" thickBot="1" x14ac:dyDescent="0.4">
      <c r="A20" s="240">
        <v>12</v>
      </c>
      <c r="B20" s="246">
        <f>'SF and BM (Still Water)'!B19</f>
        <v>286.56589170771298</v>
      </c>
      <c r="C20" s="247">
        <f>'SW Buoyancy Sagging Cargo'!AB24</f>
        <v>269.77833057988101</v>
      </c>
      <c r="D20" s="205">
        <f t="shared" si="0"/>
        <v>16.787561127831964</v>
      </c>
      <c r="E20" s="205">
        <f t="shared" si="10"/>
        <v>92.114563762514734</v>
      </c>
      <c r="F20" s="205">
        <f t="shared" si="10"/>
        <v>-1263.229419864695</v>
      </c>
      <c r="G20" s="205">
        <f t="shared" si="1"/>
        <v>441.40147522950019</v>
      </c>
      <c r="H20" s="205">
        <f t="shared" si="11"/>
        <v>11.295751311803452</v>
      </c>
      <c r="I20" s="205">
        <f t="shared" si="2"/>
        <v>452.69722654130362</v>
      </c>
      <c r="J20" s="205">
        <f t="shared" si="12"/>
        <v>-28298.885201768582</v>
      </c>
      <c r="K20" s="205">
        <f t="shared" si="13"/>
        <v>103.86477554574644</v>
      </c>
      <c r="L20" s="216">
        <f t="shared" si="3"/>
        <v>-28195.020426222836</v>
      </c>
      <c r="N20" s="240">
        <v>12</v>
      </c>
      <c r="O20" s="246">
        <f>'SF and BM (Still Water)'!Q19</f>
        <v>263.26128218027219</v>
      </c>
      <c r="P20" s="248">
        <f>'SW Buoyancy Sagging Ballast'!AB24</f>
        <v>246.63956408993783</v>
      </c>
      <c r="Q20" s="205">
        <f t="shared" si="4"/>
        <v>16.621718090334355</v>
      </c>
      <c r="R20" s="205">
        <f t="shared" si="14"/>
        <v>88.07692922607194</v>
      </c>
      <c r="S20" s="205">
        <f t="shared" si="14"/>
        <v>-1233.5373342546925</v>
      </c>
      <c r="T20" s="205">
        <f t="shared" si="5"/>
        <v>422.05363523518344</v>
      </c>
      <c r="U20" s="205">
        <f t="shared" si="6"/>
        <v>9.2328173721120415</v>
      </c>
      <c r="V20" s="205">
        <f t="shared" si="7"/>
        <v>431.28645260729547</v>
      </c>
      <c r="W20" s="205">
        <f t="shared" si="15"/>
        <v>-27633.722635994465</v>
      </c>
      <c r="X20" s="205">
        <f t="shared" si="8"/>
        <v>310.29541366408722</v>
      </c>
      <c r="Y20" s="216">
        <f t="shared" si="9"/>
        <v>-27323.427222330378</v>
      </c>
    </row>
    <row r="21" spans="1:25" ht="15" thickBot="1" x14ac:dyDescent="0.4">
      <c r="A21" s="240">
        <v>13</v>
      </c>
      <c r="B21" s="246">
        <f>'SF and BM (Still Water)'!B20</f>
        <v>285.23128545088986</v>
      </c>
      <c r="C21" s="247">
        <f>'SW Buoyancy Sagging Cargo'!AB25</f>
        <v>275.75829361044299</v>
      </c>
      <c r="D21" s="205">
        <f t="shared" si="0"/>
        <v>9.4729918404468663</v>
      </c>
      <c r="E21" s="205">
        <f t="shared" si="10"/>
        <v>118.37511673079356</v>
      </c>
      <c r="F21" s="205">
        <f t="shared" si="10"/>
        <v>-1052.7397393713868</v>
      </c>
      <c r="G21" s="205">
        <f t="shared" si="1"/>
        <v>567.23876248437136</v>
      </c>
      <c r="H21" s="205">
        <f t="shared" si="11"/>
        <v>12.237063921120406</v>
      </c>
      <c r="I21" s="205">
        <f t="shared" si="2"/>
        <v>579.47582640549172</v>
      </c>
      <c r="J21" s="205">
        <f t="shared" si="12"/>
        <v>-23583.492090456231</v>
      </c>
      <c r="K21" s="205">
        <f t="shared" si="13"/>
        <v>112.52017350789197</v>
      </c>
      <c r="L21" s="216">
        <f t="shared" si="3"/>
        <v>-23470.97191694834</v>
      </c>
      <c r="N21" s="240">
        <v>13</v>
      </c>
      <c r="O21" s="246">
        <f>'SF and BM (Still Water)'!Q20</f>
        <v>262.22888727810954</v>
      </c>
      <c r="P21" s="248">
        <f>'SW Buoyancy Sagging Ballast'!AB25</f>
        <v>252.81949335519633</v>
      </c>
      <c r="Q21" s="205">
        <f t="shared" si="4"/>
        <v>9.4093939229132104</v>
      </c>
      <c r="R21" s="205">
        <f t="shared" si="14"/>
        <v>114.1080412393195</v>
      </c>
      <c r="S21" s="205">
        <f t="shared" si="14"/>
        <v>-1031.3523637893011</v>
      </c>
      <c r="T21" s="205">
        <f t="shared" si="5"/>
        <v>546.7914701136641</v>
      </c>
      <c r="U21" s="205">
        <f t="shared" si="6"/>
        <v>10.002218819788045</v>
      </c>
      <c r="V21" s="205">
        <f t="shared" si="7"/>
        <v>556.79368893345213</v>
      </c>
      <c r="W21" s="205">
        <f t="shared" si="15"/>
        <v>-23104.371768488603</v>
      </c>
      <c r="X21" s="205">
        <f t="shared" si="8"/>
        <v>336.15336480276113</v>
      </c>
      <c r="Y21" s="216">
        <f t="shared" si="9"/>
        <v>-22768.218403685842</v>
      </c>
    </row>
    <row r="22" spans="1:25" ht="15" thickBot="1" x14ac:dyDescent="0.4">
      <c r="A22" s="240">
        <v>14</v>
      </c>
      <c r="B22" s="246">
        <f>'SF and BM (Still Water)'!B21</f>
        <v>281.14357657059958</v>
      </c>
      <c r="C22" s="247">
        <f>'SW Buoyancy Sagging Cargo'!AB26</f>
        <v>280.03623424901508</v>
      </c>
      <c r="D22" s="205">
        <f t="shared" si="0"/>
        <v>1.1073423215844969</v>
      </c>
      <c r="E22" s="205">
        <f t="shared" si="10"/>
        <v>128.95545089282493</v>
      </c>
      <c r="F22" s="205">
        <f t="shared" si="10"/>
        <v>-805.40917174776837</v>
      </c>
      <c r="G22" s="205">
        <f t="shared" si="1"/>
        <v>617.93840124705537</v>
      </c>
      <c r="H22" s="205">
        <f t="shared" si="11"/>
        <v>13.178376530437362</v>
      </c>
      <c r="I22" s="205">
        <f t="shared" si="2"/>
        <v>631.11677777749276</v>
      </c>
      <c r="J22" s="205">
        <f t="shared" si="12"/>
        <v>-18042.788850011813</v>
      </c>
      <c r="K22" s="205">
        <f t="shared" si="13"/>
        <v>121.17557147003751</v>
      </c>
      <c r="L22" s="216">
        <f t="shared" si="3"/>
        <v>-17921.613278541776</v>
      </c>
      <c r="N22" s="240">
        <v>14</v>
      </c>
      <c r="O22" s="246">
        <f>'SF and BM (Still Water)'!Q21</f>
        <v>258.53747815475896</v>
      </c>
      <c r="P22" s="248">
        <f>'SW Buoyancy Sagging Ballast'!AB26</f>
        <v>257.39212701158988</v>
      </c>
      <c r="Q22" s="205">
        <f t="shared" si="4"/>
        <v>1.1453511431690799</v>
      </c>
      <c r="R22" s="205">
        <f t="shared" si="14"/>
        <v>124.6627863054018</v>
      </c>
      <c r="S22" s="205">
        <f t="shared" si="14"/>
        <v>-792.58153624457975</v>
      </c>
      <c r="T22" s="205">
        <f t="shared" si="5"/>
        <v>597.36848912719711</v>
      </c>
      <c r="U22" s="205">
        <f t="shared" si="6"/>
        <v>10.77162026746405</v>
      </c>
      <c r="V22" s="205">
        <f t="shared" si="7"/>
        <v>608.14010939466118</v>
      </c>
      <c r="W22" s="205">
        <f t="shared" si="15"/>
        <v>-17755.423959037576</v>
      </c>
      <c r="X22" s="205">
        <f t="shared" si="8"/>
        <v>362.0113159414351</v>
      </c>
      <c r="Y22" s="216">
        <f t="shared" si="9"/>
        <v>-17393.412643096141</v>
      </c>
    </row>
    <row r="23" spans="1:25" ht="15" thickBot="1" x14ac:dyDescent="0.4">
      <c r="A23" s="240">
        <v>15</v>
      </c>
      <c r="B23" s="246">
        <f>'SF and BM (Still Water)'!B22</f>
        <v>271.20130881092228</v>
      </c>
      <c r="C23" s="247">
        <f>'SW Buoyancy Sagging Cargo'!AB27</f>
        <v>278.33698303926599</v>
      </c>
      <c r="D23" s="205">
        <f t="shared" si="0"/>
        <v>-7.1356742283437029</v>
      </c>
      <c r="E23" s="205">
        <f t="shared" si="10"/>
        <v>122.92711898606572</v>
      </c>
      <c r="F23" s="205">
        <f t="shared" si="10"/>
        <v>-553.52660186887772</v>
      </c>
      <c r="G23" s="205">
        <f t="shared" si="1"/>
        <v>589.05138829135353</v>
      </c>
      <c r="H23" s="205">
        <f t="shared" si="11"/>
        <v>14.119689139754314</v>
      </c>
      <c r="I23" s="205">
        <f t="shared" si="2"/>
        <v>603.17107743110785</v>
      </c>
      <c r="J23" s="205">
        <f t="shared" si="12"/>
        <v>-12400.111583919752</v>
      </c>
      <c r="K23" s="205">
        <f t="shared" si="13"/>
        <v>129.83096943218305</v>
      </c>
      <c r="L23" s="216">
        <f t="shared" si="3"/>
        <v>-12270.280614487569</v>
      </c>
      <c r="N23" s="240">
        <v>15</v>
      </c>
      <c r="O23" s="246">
        <f>'SF and BM (Still Water)'!Q22</f>
        <v>249.21003854182339</v>
      </c>
      <c r="P23" s="248">
        <f>'SW Buoyancy Sagging Ballast'!AB27</f>
        <v>256.1942391879918</v>
      </c>
      <c r="Q23" s="205">
        <f t="shared" si="4"/>
        <v>-6.9842006461684036</v>
      </c>
      <c r="R23" s="205">
        <f t="shared" si="14"/>
        <v>118.82393680240247</v>
      </c>
      <c r="S23" s="205">
        <f t="shared" si="14"/>
        <v>-549.09481313677543</v>
      </c>
      <c r="T23" s="205">
        <f t="shared" si="5"/>
        <v>569.38945216501224</v>
      </c>
      <c r="U23" s="205">
        <f t="shared" si="6"/>
        <v>11.541021715140053</v>
      </c>
      <c r="V23" s="205">
        <f t="shared" si="7"/>
        <v>580.93047388015225</v>
      </c>
      <c r="W23" s="205">
        <f t="shared" si="15"/>
        <v>-12300.830583496498</v>
      </c>
      <c r="X23" s="205">
        <f t="shared" si="8"/>
        <v>387.86926708010901</v>
      </c>
      <c r="Y23" s="216">
        <f t="shared" si="9"/>
        <v>-11912.961316416389</v>
      </c>
    </row>
    <row r="24" spans="1:25" ht="15" thickBot="1" x14ac:dyDescent="0.4">
      <c r="A24" s="240">
        <v>16</v>
      </c>
      <c r="B24" s="246">
        <f>'SF and BM (Still Water)'!B23</f>
        <v>248.70808380103063</v>
      </c>
      <c r="C24" s="247">
        <f>'SW Buoyancy Sagging Cargo'!AB28</f>
        <v>262.86478111712745</v>
      </c>
      <c r="D24" s="205">
        <f t="shared" si="0"/>
        <v>-14.156697316096825</v>
      </c>
      <c r="E24" s="205">
        <f t="shared" si="10"/>
        <v>101.63474744162519</v>
      </c>
      <c r="F24" s="205">
        <f t="shared" si="10"/>
        <v>-328.9647354411868</v>
      </c>
      <c r="G24" s="205">
        <f t="shared" si="1"/>
        <v>487.02100539683767</v>
      </c>
      <c r="H24" s="205">
        <f t="shared" si="11"/>
        <v>15.06100174907127</v>
      </c>
      <c r="I24" s="205">
        <f t="shared" si="2"/>
        <v>502.08200714590896</v>
      </c>
      <c r="J24" s="205">
        <f t="shared" si="12"/>
        <v>-7369.4731434274572</v>
      </c>
      <c r="K24" s="205">
        <f t="shared" si="13"/>
        <v>138.4863673943286</v>
      </c>
      <c r="L24" s="216">
        <f t="shared" si="3"/>
        <v>-7230.986776033129</v>
      </c>
      <c r="N24" s="240">
        <v>16</v>
      </c>
      <c r="O24" s="246">
        <f>'SF and BM (Still Water)'!Q23</f>
        <v>228.16504045236317</v>
      </c>
      <c r="P24" s="248">
        <f>'SW Buoyancy Sagging Ballast'!AB28</f>
        <v>241.99797093948669</v>
      </c>
      <c r="Q24" s="205">
        <f t="shared" si="4"/>
        <v>-13.832930487123519</v>
      </c>
      <c r="R24" s="205">
        <f t="shared" si="14"/>
        <v>98.006805669110548</v>
      </c>
      <c r="S24" s="205">
        <f t="shared" si="14"/>
        <v>-332.26407066526241</v>
      </c>
      <c r="T24" s="205">
        <f t="shared" si="5"/>
        <v>469.63636191566906</v>
      </c>
      <c r="U24" s="205">
        <f t="shared" si="6"/>
        <v>12.310423162816056</v>
      </c>
      <c r="V24" s="205">
        <f t="shared" si="7"/>
        <v>481.94678507848511</v>
      </c>
      <c r="W24" s="205">
        <f t="shared" si="15"/>
        <v>-7443.3849026693115</v>
      </c>
      <c r="X24" s="205">
        <f t="shared" si="8"/>
        <v>413.72721821878292</v>
      </c>
      <c r="Y24" s="216">
        <f t="shared" si="9"/>
        <v>-7029.6576844505289</v>
      </c>
    </row>
    <row r="25" spans="1:25" ht="15" thickBot="1" x14ac:dyDescent="0.4">
      <c r="A25" s="240">
        <v>17</v>
      </c>
      <c r="B25" s="246">
        <f>'SF and BM (Still Water)'!B24</f>
        <v>209.83638098455668</v>
      </c>
      <c r="C25" s="247">
        <f>'SW Buoyancy Sagging Cargo'!AB29</f>
        <v>227.81151922770633</v>
      </c>
      <c r="D25" s="205">
        <f t="shared" si="0"/>
        <v>-17.975138243149644</v>
      </c>
      <c r="E25" s="205">
        <f t="shared" si="10"/>
        <v>69.502911882378726</v>
      </c>
      <c r="F25" s="205">
        <f t="shared" si="10"/>
        <v>-157.82707611718288</v>
      </c>
      <c r="G25" s="205">
        <f t="shared" si="1"/>
        <v>333.04926587637351</v>
      </c>
      <c r="H25" s="205">
        <f t="shared" si="11"/>
        <v>16.002314358388226</v>
      </c>
      <c r="I25" s="205">
        <f t="shared" si="2"/>
        <v>349.05158023476173</v>
      </c>
      <c r="J25" s="205">
        <f t="shared" si="12"/>
        <v>-3535.6446252251949</v>
      </c>
      <c r="K25" s="205">
        <f t="shared" si="13"/>
        <v>147.14176535647411</v>
      </c>
      <c r="L25" s="216">
        <f t="shared" si="3"/>
        <v>-3388.5028598687209</v>
      </c>
      <c r="N25" s="240">
        <v>17</v>
      </c>
      <c r="O25" s="246">
        <f>'SF and BM (Still Water)'!Q24</f>
        <v>192.08889603738504</v>
      </c>
      <c r="P25" s="248">
        <f>'SW Buoyancy Sagging Ballast'!AB29</f>
        <v>209.51708231436706</v>
      </c>
      <c r="Q25" s="205">
        <f t="shared" si="4"/>
        <v>-17.428186276982018</v>
      </c>
      <c r="R25" s="205">
        <f t="shared" si="14"/>
        <v>66.745688905005011</v>
      </c>
      <c r="S25" s="205">
        <f t="shared" si="14"/>
        <v>-167.51157609114685</v>
      </c>
      <c r="T25" s="205">
        <f t="shared" si="5"/>
        <v>319.83699802167081</v>
      </c>
      <c r="U25" s="205">
        <f t="shared" si="6"/>
        <v>13.079824610492059</v>
      </c>
      <c r="V25" s="205">
        <f t="shared" si="7"/>
        <v>332.91682263216285</v>
      </c>
      <c r="W25" s="205">
        <f t="shared" si="15"/>
        <v>-3752.596944962248</v>
      </c>
      <c r="X25" s="205">
        <f t="shared" si="8"/>
        <v>439.58516935745683</v>
      </c>
      <c r="Y25" s="216">
        <f t="shared" si="9"/>
        <v>-3313.0117756047912</v>
      </c>
    </row>
    <row r="26" spans="1:25" ht="15" thickBot="1" x14ac:dyDescent="0.4">
      <c r="A26" s="240">
        <v>18</v>
      </c>
      <c r="B26" s="246">
        <f>'SF and BM (Still Water)'!B25</f>
        <v>155.65478671217048</v>
      </c>
      <c r="C26" s="247">
        <f>'SW Buoyancy Sagging Cargo'!AB30</f>
        <v>172.40396411815632</v>
      </c>
      <c r="D26" s="205">
        <f t="shared" si="0"/>
        <v>-16.749177405985847</v>
      </c>
      <c r="E26" s="205">
        <f t="shared" ref="E26:F28" si="16">D26+D25+E25</f>
        <v>34.778596233243235</v>
      </c>
      <c r="F26" s="205">
        <f t="shared" si="16"/>
        <v>-53.545568001560923</v>
      </c>
      <c r="G26" s="205">
        <f t="shared" si="1"/>
        <v>166.65468582517241</v>
      </c>
      <c r="H26" s="205">
        <f t="shared" si="11"/>
        <v>16.943626967705178</v>
      </c>
      <c r="I26" s="205">
        <f t="shared" si="2"/>
        <v>183.59831279287758</v>
      </c>
      <c r="J26" s="205">
        <f t="shared" si="12"/>
        <v>-1199.5286510204678</v>
      </c>
      <c r="K26" s="205">
        <f t="shared" si="13"/>
        <v>155.79716331861965</v>
      </c>
      <c r="L26" s="216">
        <f t="shared" si="3"/>
        <v>-1043.7314877018482</v>
      </c>
      <c r="N26" s="240">
        <v>18</v>
      </c>
      <c r="O26" s="246">
        <f>'SF and BM (Still Water)'!Q25</f>
        <v>142.43198908110554</v>
      </c>
      <c r="P26" s="248">
        <f>'SW Buoyancy Sagging Ballast'!AB30</f>
        <v>158.52437703259338</v>
      </c>
      <c r="Q26" s="205">
        <f t="shared" si="4"/>
        <v>-16.092387951487837</v>
      </c>
      <c r="R26" s="205">
        <f t="shared" ref="R26:S28" si="17">Q26+Q25+R25</f>
        <v>33.225114676535156</v>
      </c>
      <c r="S26" s="205">
        <f t="shared" si="17"/>
        <v>-67.540772509606683</v>
      </c>
      <c r="T26" s="205">
        <f t="shared" si="5"/>
        <v>159.21059639062187</v>
      </c>
      <c r="U26" s="205">
        <f t="shared" si="6"/>
        <v>13.849226058168062</v>
      </c>
      <c r="V26" s="205">
        <f t="shared" si="7"/>
        <v>173.05982244878993</v>
      </c>
      <c r="W26" s="205">
        <f t="shared" si="15"/>
        <v>-1513.0494410847793</v>
      </c>
      <c r="X26" s="205">
        <f t="shared" si="8"/>
        <v>465.4431204961308</v>
      </c>
      <c r="Y26" s="216">
        <f t="shared" si="9"/>
        <v>-1047.6063205886485</v>
      </c>
    </row>
    <row r="27" spans="1:25" ht="15" thickBot="1" x14ac:dyDescent="0.4">
      <c r="A27" s="240">
        <v>19</v>
      </c>
      <c r="B27" s="246">
        <f>'SF and BM (Still Water)'!B26</f>
        <v>82.585037787137338</v>
      </c>
      <c r="C27" s="247">
        <f>'SW Buoyancy Sagging Cargo'!AB31</f>
        <v>93.130246931454394</v>
      </c>
      <c r="D27" s="205">
        <f t="shared" si="0"/>
        <v>-10.545209144317056</v>
      </c>
      <c r="E27" s="205">
        <f t="shared" si="16"/>
        <v>7.4842096829403317</v>
      </c>
      <c r="F27" s="205">
        <f t="shared" si="16"/>
        <v>-11.282762085377357</v>
      </c>
      <c r="G27" s="205">
        <f t="shared" si="1"/>
        <v>35.863397274439698</v>
      </c>
      <c r="H27" s="205">
        <f t="shared" si="11"/>
        <v>17.884939577022131</v>
      </c>
      <c r="I27" s="205">
        <f t="shared" si="2"/>
        <v>53.748336851461829</v>
      </c>
      <c r="J27" s="205">
        <f t="shared" si="12"/>
        <v>-252.75661252978111</v>
      </c>
      <c r="K27" s="205">
        <f t="shared" si="13"/>
        <v>164.45256128076522</v>
      </c>
      <c r="L27" s="216">
        <f t="shared" si="3"/>
        <v>-88.304051249015885</v>
      </c>
      <c r="N27" s="240">
        <v>19</v>
      </c>
      <c r="O27" s="246">
        <f>'SF and BM (Still Water)'!Q26</f>
        <v>75.483254609438475</v>
      </c>
      <c r="P27" s="248">
        <f>'SW Buoyancy Sagging Ballast'!AB31</f>
        <v>85.39520439730228</v>
      </c>
      <c r="Q27" s="205">
        <f t="shared" si="4"/>
        <v>-9.9119497878638043</v>
      </c>
      <c r="R27" s="205">
        <f t="shared" si="17"/>
        <v>7.2207769371835155</v>
      </c>
      <c r="S27" s="205">
        <f t="shared" si="17"/>
        <v>-27.094880895888011</v>
      </c>
      <c r="T27" s="205">
        <f t="shared" si="5"/>
        <v>34.601060485866256</v>
      </c>
      <c r="U27" s="205">
        <f t="shared" si="6"/>
        <v>14.618627505844065</v>
      </c>
      <c r="V27" s="205">
        <f t="shared" si="7"/>
        <v>49.219687991710323</v>
      </c>
      <c r="W27" s="205">
        <f t="shared" si="15"/>
        <v>-606.97994518719713</v>
      </c>
      <c r="X27" s="205">
        <f t="shared" si="8"/>
        <v>491.30107163480477</v>
      </c>
      <c r="Y27" s="216">
        <f t="shared" si="9"/>
        <v>-115.67887355239236</v>
      </c>
    </row>
    <row r="28" spans="1:25" ht="15" thickBot="1" x14ac:dyDescent="0.4">
      <c r="A28" s="240">
        <v>20</v>
      </c>
      <c r="B28" s="246">
        <f>'SF and BM (Still Water)'!B27</f>
        <v>0.25290604923030618</v>
      </c>
      <c r="C28" s="247">
        <f>'SW Buoyancy Sagging Cargo'!AB32</f>
        <v>1.1206927490825551</v>
      </c>
      <c r="D28" s="226">
        <f t="shared" si="0"/>
        <v>-0.86778669985224899</v>
      </c>
      <c r="E28" s="226">
        <f t="shared" si="16"/>
        <v>-3.9287861612289738</v>
      </c>
      <c r="F28" s="226">
        <f>E28+E27+F27</f>
        <v>-7.7273385636659988</v>
      </c>
      <c r="G28" s="226">
        <f t="shared" si="1"/>
        <v>-18.826252186339087</v>
      </c>
      <c r="H28" s="226">
        <f t="shared" si="11"/>
        <v>18.826252186339087</v>
      </c>
      <c r="I28" s="226">
        <f t="shared" si="2"/>
        <v>0</v>
      </c>
      <c r="J28" s="226">
        <f t="shared" si="12"/>
        <v>-173.10795924291074</v>
      </c>
      <c r="K28" s="226">
        <f t="shared" si="13"/>
        <v>173.10795924291074</v>
      </c>
      <c r="L28" s="228">
        <f t="shared" si="3"/>
        <v>0</v>
      </c>
      <c r="N28" s="240">
        <v>20</v>
      </c>
      <c r="O28" s="246">
        <f>'SF and BM (Still Water)'!Q27</f>
        <v>1.8413564452917079E-2</v>
      </c>
      <c r="P28" s="248">
        <f>'SW Buoyancy Sagging Ballast'!AB32</f>
        <v>0.538515831241276</v>
      </c>
      <c r="Q28" s="226">
        <f t="shared" si="4"/>
        <v>-0.52010226678835891</v>
      </c>
      <c r="R28" s="226">
        <f t="shared" si="17"/>
        <v>-3.2112751174686469</v>
      </c>
      <c r="S28" s="226">
        <f>R28+R27+S27</f>
        <v>-23.08537907617314</v>
      </c>
      <c r="T28" s="226">
        <f t="shared" si="5"/>
        <v>-15.38802895352007</v>
      </c>
      <c r="U28" s="226">
        <f t="shared" si="6"/>
        <v>15.388028953520068</v>
      </c>
      <c r="V28" s="226">
        <f t="shared" si="7"/>
        <v>0</v>
      </c>
      <c r="W28" s="226">
        <f t="shared" si="15"/>
        <v>-517.15902277347868</v>
      </c>
      <c r="X28" s="226">
        <f t="shared" si="8"/>
        <v>517.15902277347868</v>
      </c>
      <c r="Y28" s="228">
        <f t="shared" si="9"/>
        <v>0</v>
      </c>
    </row>
    <row r="31" spans="1:25" x14ac:dyDescent="0.35">
      <c r="A31" s="241" t="s">
        <v>492</v>
      </c>
      <c r="B31" s="1">
        <f>'SF and BM (Still Water)'!B32</f>
        <v>9.35</v>
      </c>
    </row>
    <row r="32" spans="1:25" x14ac:dyDescent="0.35">
      <c r="A32" s="241" t="s">
        <v>542</v>
      </c>
      <c r="B32" s="1">
        <v>1.0249999999999999</v>
      </c>
    </row>
  </sheetData>
  <mergeCells count="3">
    <mergeCell ref="B1:L2"/>
    <mergeCell ref="B5:L5"/>
    <mergeCell ref="O5:Y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BD06-5057-43E1-A51F-9AA5B106C729}">
  <dimension ref="A1:Y32"/>
  <sheetViews>
    <sheetView topLeftCell="C27" zoomScale="70" zoomScaleNormal="70" workbookViewId="0">
      <selection activeCell="Q63" sqref="Q63"/>
    </sheetView>
  </sheetViews>
  <sheetFormatPr defaultRowHeight="14.5" x14ac:dyDescent="0.35"/>
  <cols>
    <col min="2" max="2" width="17.453125" bestFit="1" customWidth="1"/>
    <col min="3" max="3" width="18.7265625" bestFit="1" customWidth="1"/>
    <col min="12" max="12" width="16.1796875" bestFit="1" customWidth="1"/>
    <col min="25" max="25" width="17" bestFit="1" customWidth="1"/>
  </cols>
  <sheetData>
    <row r="1" spans="1:25" x14ac:dyDescent="0.35">
      <c r="B1" s="381" t="s">
        <v>543</v>
      </c>
      <c r="C1" s="381"/>
      <c r="D1" s="381"/>
      <c r="E1" s="381"/>
      <c r="F1" s="381"/>
      <c r="G1" s="381"/>
      <c r="H1" s="381"/>
      <c r="I1" s="381"/>
      <c r="J1" s="381"/>
      <c r="K1" s="381"/>
      <c r="L1" s="381"/>
    </row>
    <row r="2" spans="1:25" x14ac:dyDescent="0.35"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</row>
    <row r="5" spans="1:25" x14ac:dyDescent="0.35">
      <c r="B5" s="386" t="s">
        <v>357</v>
      </c>
      <c r="C5" s="386"/>
      <c r="D5" s="386"/>
      <c r="E5" s="386"/>
      <c r="F5" s="386"/>
      <c r="G5" s="386"/>
      <c r="H5" s="386"/>
      <c r="I5" s="386"/>
      <c r="J5" s="386"/>
      <c r="K5" s="386"/>
      <c r="L5" s="386"/>
      <c r="O5" s="383" t="s">
        <v>544</v>
      </c>
      <c r="P5" s="384"/>
      <c r="Q5" s="384"/>
      <c r="R5" s="384"/>
      <c r="S5" s="384"/>
      <c r="T5" s="384"/>
      <c r="U5" s="384"/>
      <c r="V5" s="384"/>
      <c r="W5" s="384"/>
      <c r="X5" s="384"/>
      <c r="Y5" s="385"/>
    </row>
    <row r="6" spans="1:25" x14ac:dyDescent="0.35">
      <c r="B6" s="243" t="s">
        <v>545</v>
      </c>
      <c r="C6" s="243" t="s">
        <v>546</v>
      </c>
      <c r="D6" s="243" t="s">
        <v>547</v>
      </c>
      <c r="E6" s="243" t="s">
        <v>548</v>
      </c>
      <c r="F6" s="243" t="s">
        <v>549</v>
      </c>
      <c r="G6" s="243" t="s">
        <v>550</v>
      </c>
      <c r="H6" s="243" t="s">
        <v>551</v>
      </c>
      <c r="I6" s="243" t="s">
        <v>552</v>
      </c>
      <c r="J6" s="243" t="s">
        <v>553</v>
      </c>
      <c r="K6" s="243" t="s">
        <v>554</v>
      </c>
      <c r="L6" s="243" t="s">
        <v>555</v>
      </c>
      <c r="O6" s="243" t="s">
        <v>545</v>
      </c>
      <c r="P6" s="243" t="s">
        <v>546</v>
      </c>
      <c r="Q6" s="243" t="s">
        <v>547</v>
      </c>
      <c r="R6" s="243" t="s">
        <v>548</v>
      </c>
      <c r="S6" s="243" t="s">
        <v>549</v>
      </c>
      <c r="T6" s="243" t="s">
        <v>550</v>
      </c>
      <c r="U6" s="243" t="s">
        <v>551</v>
      </c>
      <c r="V6" s="243" t="s">
        <v>556</v>
      </c>
      <c r="W6" s="243" t="s">
        <v>553</v>
      </c>
      <c r="X6" s="243" t="s">
        <v>554</v>
      </c>
      <c r="Y6" s="243" t="s">
        <v>557</v>
      </c>
    </row>
    <row r="7" spans="1:25" ht="15" thickBot="1" x14ac:dyDescent="0.4">
      <c r="A7" s="241" t="s">
        <v>530</v>
      </c>
      <c r="B7" s="244" t="s">
        <v>2</v>
      </c>
      <c r="C7" s="244" t="s">
        <v>96</v>
      </c>
      <c r="D7" s="244" t="s">
        <v>97</v>
      </c>
      <c r="E7" s="244" t="s">
        <v>5</v>
      </c>
      <c r="F7" s="244" t="s">
        <v>98</v>
      </c>
      <c r="G7" s="244" t="s">
        <v>99</v>
      </c>
      <c r="H7" s="244"/>
      <c r="I7" s="244"/>
      <c r="J7" s="244"/>
      <c r="K7" s="244"/>
      <c r="L7" s="244"/>
      <c r="N7" s="241" t="s">
        <v>530</v>
      </c>
      <c r="O7" s="245" t="s">
        <v>2</v>
      </c>
      <c r="P7" s="244" t="s">
        <v>96</v>
      </c>
      <c r="Q7" s="244" t="s">
        <v>97</v>
      </c>
      <c r="R7" s="244" t="s">
        <v>5</v>
      </c>
      <c r="S7" s="244" t="s">
        <v>98</v>
      </c>
      <c r="T7" s="244" t="s">
        <v>99</v>
      </c>
      <c r="U7" s="244"/>
      <c r="V7" s="244"/>
      <c r="W7" s="244"/>
      <c r="X7" s="244"/>
      <c r="Y7" s="244"/>
    </row>
    <row r="8" spans="1:25" ht="15" thickBot="1" x14ac:dyDescent="0.4">
      <c r="A8" s="240">
        <v>0</v>
      </c>
      <c r="B8" s="246">
        <f>'SF and BM (Still Water)'!B7</f>
        <v>7.9573071710691945</v>
      </c>
      <c r="C8" s="247">
        <f>'SW Buoyancy Hogging Cargo'!AB12</f>
        <v>4.7222913672661999</v>
      </c>
      <c r="D8" s="248">
        <f>B8-C8</f>
        <v>3.2350158038029946</v>
      </c>
      <c r="E8" s="248">
        <v>0</v>
      </c>
      <c r="F8" s="248">
        <v>0</v>
      </c>
      <c r="G8" s="248">
        <f>0.5*$B$31*$B$32*E8</f>
        <v>0</v>
      </c>
      <c r="H8" s="248">
        <f>-$G$28*A8/20</f>
        <v>0</v>
      </c>
      <c r="I8" s="248">
        <f>H8+G8</f>
        <v>0</v>
      </c>
      <c r="J8" s="248">
        <f>F8*0.25*($B$31^2)*$B$32</f>
        <v>0</v>
      </c>
      <c r="K8" s="248">
        <f>-$J$28*A8/20</f>
        <v>0</v>
      </c>
      <c r="L8" s="249">
        <f>K8+J8</f>
        <v>0</v>
      </c>
      <c r="N8" s="240">
        <v>0</v>
      </c>
      <c r="O8" s="246">
        <f>'SF and BM (Still Water)'!Q7</f>
        <v>4.0889651818162909</v>
      </c>
      <c r="P8" s="248">
        <f>'SW Buoyancy Hogging Ballast'!AB12</f>
        <v>2.0897935265674028</v>
      </c>
      <c r="Q8" s="248">
        <f>O8-P8</f>
        <v>1.9991716552488881</v>
      </c>
      <c r="R8" s="248">
        <v>0</v>
      </c>
      <c r="S8" s="248">
        <v>0</v>
      </c>
      <c r="T8" s="248">
        <f>0.5*$B$31*$B$32*R8</f>
        <v>0</v>
      </c>
      <c r="U8" s="248">
        <f>-$T$28*N8/20</f>
        <v>0</v>
      </c>
      <c r="V8" s="248">
        <f>U8+T8</f>
        <v>0</v>
      </c>
      <c r="W8" s="248">
        <f>S8*0.25*($B$31^2)*$B$32</f>
        <v>0</v>
      </c>
      <c r="X8" s="248">
        <f>-$W$28*N8/20</f>
        <v>0</v>
      </c>
      <c r="Y8" s="249">
        <f>X8+W8</f>
        <v>0</v>
      </c>
    </row>
    <row r="9" spans="1:25" ht="15" thickBot="1" x14ac:dyDescent="0.4">
      <c r="A9" s="240">
        <v>1</v>
      </c>
      <c r="B9" s="246">
        <f>'SF and BM (Still Water)'!B8</f>
        <v>54.731849153918304</v>
      </c>
      <c r="C9" s="247">
        <f>'SW Buoyancy Hogging Cargo'!AB13</f>
        <v>44.636211595998574</v>
      </c>
      <c r="D9" s="205">
        <f t="shared" ref="D9:D28" si="0">B9-C9</f>
        <v>10.09563755791973</v>
      </c>
      <c r="E9" s="205">
        <f>D9+D8+E8</f>
        <v>13.330653361722725</v>
      </c>
      <c r="F9" s="205">
        <f>E9+E8+F8</f>
        <v>13.330653361722725</v>
      </c>
      <c r="G9" s="205">
        <f t="shared" ref="G9:G28" si="1">0.5*$B$31*$B$32*E9</f>
        <v>63.878824577705068</v>
      </c>
      <c r="H9" s="205">
        <f>-$G$28*A9/20</f>
        <v>0.94124238838397556</v>
      </c>
      <c r="I9" s="205">
        <f t="shared" ref="I9:I28" si="2">H9+G9</f>
        <v>64.820066966089044</v>
      </c>
      <c r="J9" s="205">
        <f>F9*0.25*($B$31^2)*$B$32</f>
        <v>298.63350490077119</v>
      </c>
      <c r="K9" s="205">
        <f>-$J$28*A9/20</f>
        <v>213.97891912290689</v>
      </c>
      <c r="L9" s="216">
        <f t="shared" ref="L9:L28" si="3">K9+J9</f>
        <v>512.61242402367805</v>
      </c>
      <c r="N9" s="240">
        <v>1</v>
      </c>
      <c r="O9" s="246">
        <f>'SF and BM (Still Water)'!Q8</f>
        <v>43.402784814125312</v>
      </c>
      <c r="P9" s="248">
        <f>'SW Buoyancy Hogging Ballast'!AB13</f>
        <v>34.814553229078179</v>
      </c>
      <c r="Q9" s="205">
        <f t="shared" ref="Q9:Q28" si="4">O9-P9</f>
        <v>8.5882315850471329</v>
      </c>
      <c r="R9" s="205">
        <f>Q9+Q8+R8</f>
        <v>10.587403240296021</v>
      </c>
      <c r="S9" s="205">
        <f>R9+R8+S8</f>
        <v>10.587403240296021</v>
      </c>
      <c r="T9" s="205">
        <f t="shared" ref="T9:T28" si="5">0.5*$B$31*$B$32*R9</f>
        <v>50.733512902093487</v>
      </c>
      <c r="U9" s="205">
        <f t="shared" ref="U9:U28" si="6">-$T$28*N9/20</f>
        <v>0.76924736716862452</v>
      </c>
      <c r="V9" s="205">
        <f t="shared" ref="V9:V28" si="7">U9+T9</f>
        <v>51.502760269262112</v>
      </c>
      <c r="W9" s="205">
        <f>S9*0.25*($B$31^2)*$B$32</f>
        <v>237.17917281728708</v>
      </c>
      <c r="X9" s="205">
        <f t="shared" ref="X9:X28" si="8">-$W$28*N9/20</f>
        <v>169.64984555476136</v>
      </c>
      <c r="Y9" s="216">
        <f t="shared" ref="Y9:Y28" si="9">X9+W9</f>
        <v>406.82901837204844</v>
      </c>
    </row>
    <row r="10" spans="1:25" ht="15" thickBot="1" x14ac:dyDescent="0.4">
      <c r="A10" s="240">
        <v>2</v>
      </c>
      <c r="B10" s="246">
        <f>'SF and BM (Still Water)'!B9</f>
        <v>116.7043374581293</v>
      </c>
      <c r="C10" s="247">
        <f>'SW Buoyancy Hogging Cargo'!AB14</f>
        <v>101.9193122729075</v>
      </c>
      <c r="D10" s="205">
        <f t="shared" si="0"/>
        <v>14.785025185221798</v>
      </c>
      <c r="E10" s="205">
        <f t="shared" ref="E10:F25" si="10">D10+D9+E9</f>
        <v>38.211316104864252</v>
      </c>
      <c r="F10" s="205">
        <f t="shared" si="10"/>
        <v>64.872622828309702</v>
      </c>
      <c r="G10" s="205">
        <f t="shared" si="1"/>
        <v>183.10385035999636</v>
      </c>
      <c r="H10" s="205">
        <f t="shared" ref="H10:H28" si="11">-$G$28*A10/20</f>
        <v>1.8824847767679511</v>
      </c>
      <c r="I10" s="205">
        <f t="shared" si="2"/>
        <v>184.9863351367643</v>
      </c>
      <c r="J10" s="205">
        <f t="shared" ref="J10:J28" si="12">F10*0.25*($B$31^2)*$B$32</f>
        <v>1453.2775102345254</v>
      </c>
      <c r="K10" s="205">
        <f t="shared" ref="K10:K28" si="13">-$J$28*A10/20</f>
        <v>427.95783824581378</v>
      </c>
      <c r="L10" s="216">
        <f t="shared" si="3"/>
        <v>1881.2353484803391</v>
      </c>
      <c r="N10" s="240">
        <v>2</v>
      </c>
      <c r="O10" s="246">
        <f>'SF and BM (Still Water)'!Q9</f>
        <v>99.078676376050836</v>
      </c>
      <c r="P10" s="248">
        <f>'SW Buoyancy Hogging Ballast'!AB14</f>
        <v>85.039301085140991</v>
      </c>
      <c r="Q10" s="205">
        <f t="shared" si="4"/>
        <v>14.039375290909845</v>
      </c>
      <c r="R10" s="205">
        <f t="shared" ref="R10:S25" si="14">Q10+Q9+R9</f>
        <v>33.215010116252998</v>
      </c>
      <c r="S10" s="205">
        <f t="shared" si="14"/>
        <v>54.389816596845037</v>
      </c>
      <c r="T10" s="205">
        <f t="shared" si="5"/>
        <v>159.16217660081981</v>
      </c>
      <c r="U10" s="205">
        <f t="shared" si="6"/>
        <v>1.538494734337249</v>
      </c>
      <c r="V10" s="205">
        <f t="shared" si="7"/>
        <v>160.70067133515707</v>
      </c>
      <c r="W10" s="205">
        <f t="shared" ref="W10:W28" si="15">S10*0.25*($B$31^2)*$B$32</f>
        <v>1218.4415212434067</v>
      </c>
      <c r="X10" s="205">
        <f t="shared" si="8"/>
        <v>339.29969110952271</v>
      </c>
      <c r="Y10" s="216">
        <f t="shared" si="9"/>
        <v>1557.7412123529293</v>
      </c>
    </row>
    <row r="11" spans="1:25" ht="15" thickBot="1" x14ac:dyDescent="0.4">
      <c r="A11" s="240">
        <v>3</v>
      </c>
      <c r="B11" s="246">
        <f>'SF and BM (Still Water)'!B10</f>
        <v>175.44239732314989</v>
      </c>
      <c r="C11" s="247">
        <f>'SW Buoyancy Hogging Cargo'!AB15</f>
        <v>159.9570603264815</v>
      </c>
      <c r="D11" s="205">
        <f t="shared" si="0"/>
        <v>15.485336996668394</v>
      </c>
      <c r="E11" s="205">
        <f t="shared" si="10"/>
        <v>68.481678286754445</v>
      </c>
      <c r="F11" s="205">
        <f t="shared" si="10"/>
        <v>171.56561721992841</v>
      </c>
      <c r="G11" s="205">
        <f t="shared" si="1"/>
        <v>328.1556421403414</v>
      </c>
      <c r="H11" s="205">
        <f t="shared" si="11"/>
        <v>2.8237271651519267</v>
      </c>
      <c r="I11" s="205">
        <f t="shared" si="2"/>
        <v>330.97936930549332</v>
      </c>
      <c r="J11" s="205">
        <f t="shared" si="12"/>
        <v>3843.415637673605</v>
      </c>
      <c r="K11" s="205">
        <f t="shared" si="13"/>
        <v>641.93675736872069</v>
      </c>
      <c r="L11" s="216">
        <f t="shared" si="3"/>
        <v>4485.352395042326</v>
      </c>
      <c r="N11" s="240">
        <v>3</v>
      </c>
      <c r="O11" s="246">
        <f>'SF and BM (Still Water)'!Q10</f>
        <v>153.52025997601754</v>
      </c>
      <c r="P11" s="248">
        <f>'SW Buoyancy Hogging Ballast'!AB15</f>
        <v>137.94695387402982</v>
      </c>
      <c r="Q11" s="205">
        <f t="shared" si="4"/>
        <v>15.573306101987725</v>
      </c>
      <c r="R11" s="205">
        <f t="shared" si="14"/>
        <v>62.827691509150569</v>
      </c>
      <c r="S11" s="205">
        <f t="shared" si="14"/>
        <v>150.4325182222486</v>
      </c>
      <c r="T11" s="205">
        <f t="shared" si="5"/>
        <v>301.06244425041081</v>
      </c>
      <c r="U11" s="205">
        <f t="shared" si="6"/>
        <v>2.3077421015058737</v>
      </c>
      <c r="V11" s="205">
        <f t="shared" si="7"/>
        <v>303.37018635191669</v>
      </c>
      <c r="W11" s="205">
        <f t="shared" si="15"/>
        <v>3369.9916237229099</v>
      </c>
      <c r="X11" s="205">
        <f t="shared" si="8"/>
        <v>508.9495366642841</v>
      </c>
      <c r="Y11" s="216">
        <f t="shared" si="9"/>
        <v>3878.941160387194</v>
      </c>
    </row>
    <row r="12" spans="1:25" ht="15" thickBot="1" x14ac:dyDescent="0.4">
      <c r="A12" s="240">
        <v>4</v>
      </c>
      <c r="B12" s="246">
        <f>'SF and BM (Still Water)'!B11</f>
        <v>223.95880482300416</v>
      </c>
      <c r="C12" s="247">
        <f>'SW Buoyancy Hogging Cargo'!AB16</f>
        <v>212.05028769084166</v>
      </c>
      <c r="D12" s="205">
        <f t="shared" si="0"/>
        <v>11.908517132162501</v>
      </c>
      <c r="E12" s="205">
        <f t="shared" si="10"/>
        <v>95.87553241558534</v>
      </c>
      <c r="F12" s="205">
        <f t="shared" si="10"/>
        <v>335.9228279222682</v>
      </c>
      <c r="G12" s="205">
        <f t="shared" si="1"/>
        <v>459.4235668939329</v>
      </c>
      <c r="H12" s="205">
        <f t="shared" si="11"/>
        <v>3.7649695535359022</v>
      </c>
      <c r="I12" s="205">
        <f t="shared" si="2"/>
        <v>463.18853644746878</v>
      </c>
      <c r="J12" s="205">
        <f t="shared" si="12"/>
        <v>7525.3484399088384</v>
      </c>
      <c r="K12" s="205">
        <f t="shared" si="13"/>
        <v>855.91567649162755</v>
      </c>
      <c r="L12" s="216">
        <f t="shared" si="3"/>
        <v>8381.2641164004654</v>
      </c>
      <c r="N12" s="240">
        <v>4</v>
      </c>
      <c r="O12" s="246">
        <f>'SF and BM (Still Water)'!Q11</f>
        <v>199.68277745177912</v>
      </c>
      <c r="P12" s="248">
        <f>'SW Buoyancy Hogging Ballast'!AB16</f>
        <v>187.11202999681808</v>
      </c>
      <c r="Q12" s="205">
        <f t="shared" si="4"/>
        <v>12.570747454961037</v>
      </c>
      <c r="R12" s="205">
        <f t="shared" si="14"/>
        <v>90.971745066099331</v>
      </c>
      <c r="S12" s="205">
        <f t="shared" si="14"/>
        <v>304.23195479749847</v>
      </c>
      <c r="T12" s="205">
        <f t="shared" si="5"/>
        <v>435.92523088861464</v>
      </c>
      <c r="U12" s="205">
        <f t="shared" si="6"/>
        <v>3.0769894686744981</v>
      </c>
      <c r="V12" s="205">
        <f t="shared" si="7"/>
        <v>439.00222035728916</v>
      </c>
      <c r="W12" s="205">
        <f t="shared" si="15"/>
        <v>6815.409004997854</v>
      </c>
      <c r="X12" s="205">
        <f t="shared" si="8"/>
        <v>678.59938221904542</v>
      </c>
      <c r="Y12" s="216">
        <f t="shared" si="9"/>
        <v>7494.0083872168998</v>
      </c>
    </row>
    <row r="13" spans="1:25" ht="15" thickBot="1" x14ac:dyDescent="0.4">
      <c r="A13" s="240">
        <v>5</v>
      </c>
      <c r="B13" s="246">
        <f>'SF and BM (Still Water)'!B12</f>
        <v>258.45267415000603</v>
      </c>
      <c r="C13" s="247">
        <f>'SW Buoyancy Hogging Cargo'!AB17</f>
        <v>253.10284219146891</v>
      </c>
      <c r="D13" s="205">
        <f t="shared" si="0"/>
        <v>5.3498319585371235</v>
      </c>
      <c r="E13" s="205">
        <f t="shared" si="10"/>
        <v>113.13388150628496</v>
      </c>
      <c r="F13" s="205">
        <f t="shared" si="10"/>
        <v>544.9322418441385</v>
      </c>
      <c r="G13" s="205">
        <f t="shared" si="1"/>
        <v>542.12341844292916</v>
      </c>
      <c r="H13" s="205">
        <f t="shared" si="11"/>
        <v>4.7062119419198778</v>
      </c>
      <c r="I13" s="205">
        <f t="shared" si="2"/>
        <v>546.829630384849</v>
      </c>
      <c r="J13" s="205">
        <f t="shared" si="12"/>
        <v>12207.580596358668</v>
      </c>
      <c r="K13" s="205">
        <f t="shared" si="13"/>
        <v>1069.8945956145344</v>
      </c>
      <c r="L13" s="216">
        <f t="shared" si="3"/>
        <v>13277.475191973203</v>
      </c>
      <c r="N13" s="240">
        <v>5</v>
      </c>
      <c r="O13" s="246">
        <f>'SF and BM (Still Water)'!Q12</f>
        <v>233.29763157002154</v>
      </c>
      <c r="P13" s="248">
        <f>'SW Buoyancy Hogging Ballast'!AB17</f>
        <v>227.07070007704721</v>
      </c>
      <c r="Q13" s="205">
        <f t="shared" si="4"/>
        <v>6.2269314929743302</v>
      </c>
      <c r="R13" s="205">
        <f t="shared" si="14"/>
        <v>109.7694240140347</v>
      </c>
      <c r="S13" s="205">
        <f t="shared" si="14"/>
        <v>504.97312387763247</v>
      </c>
      <c r="T13" s="205">
        <f t="shared" si="5"/>
        <v>526.00135869725239</v>
      </c>
      <c r="U13" s="205">
        <f t="shared" si="6"/>
        <v>3.8462368358431229</v>
      </c>
      <c r="V13" s="205">
        <f t="shared" si="7"/>
        <v>529.8475955330955</v>
      </c>
      <c r="W13" s="205">
        <f t="shared" si="15"/>
        <v>11312.415811311783</v>
      </c>
      <c r="X13" s="205">
        <f t="shared" si="8"/>
        <v>848.24922777380675</v>
      </c>
      <c r="Y13" s="216">
        <f t="shared" si="9"/>
        <v>12160.66503908559</v>
      </c>
    </row>
    <row r="14" spans="1:25" ht="15" thickBot="1" x14ac:dyDescent="0.4">
      <c r="A14" s="240">
        <v>6</v>
      </c>
      <c r="B14" s="246">
        <f>'SF and BM (Still Water)'!B13</f>
        <v>278.18082659844436</v>
      </c>
      <c r="C14" s="247">
        <f>'SW Buoyancy Hogging Cargo'!AB18</f>
        <v>280.60856742138685</v>
      </c>
      <c r="D14" s="205">
        <f t="shared" si="0"/>
        <v>-2.4277408229424964</v>
      </c>
      <c r="E14" s="205">
        <f t="shared" si="10"/>
        <v>116.05597264187959</v>
      </c>
      <c r="F14" s="205">
        <f t="shared" si="10"/>
        <v>774.122095992303</v>
      </c>
      <c r="G14" s="205">
        <f t="shared" si="1"/>
        <v>556.12571390330663</v>
      </c>
      <c r="H14" s="205">
        <f t="shared" si="11"/>
        <v>5.6474543303038534</v>
      </c>
      <c r="I14" s="205">
        <f t="shared" si="2"/>
        <v>561.77316823361048</v>
      </c>
      <c r="J14" s="205">
        <f t="shared" si="12"/>
        <v>17341.895290077318</v>
      </c>
      <c r="K14" s="205">
        <f t="shared" si="13"/>
        <v>1283.8735147374414</v>
      </c>
      <c r="L14" s="216">
        <f t="shared" si="3"/>
        <v>18625.768804814761</v>
      </c>
      <c r="N14" s="240">
        <v>6</v>
      </c>
      <c r="O14" s="246">
        <f>'SF and BM (Still Water)'!Q13</f>
        <v>253.0823262936276</v>
      </c>
      <c r="P14" s="248">
        <f>'SW Buoyancy Hogging Ballast'!AB18</f>
        <v>254.65109220150802</v>
      </c>
      <c r="Q14" s="205">
        <f t="shared" si="4"/>
        <v>-1.5687659078804188</v>
      </c>
      <c r="R14" s="205">
        <f t="shared" si="14"/>
        <v>114.42758959912861</v>
      </c>
      <c r="S14" s="205">
        <f t="shared" si="14"/>
        <v>729.17013749079581</v>
      </c>
      <c r="T14" s="205">
        <f t="shared" si="5"/>
        <v>548.32270591032432</v>
      </c>
      <c r="U14" s="205">
        <f t="shared" si="6"/>
        <v>4.6154842030117473</v>
      </c>
      <c r="V14" s="205">
        <f t="shared" si="7"/>
        <v>552.93819011333608</v>
      </c>
      <c r="W14" s="205">
        <f t="shared" si="15"/>
        <v>16334.880813352205</v>
      </c>
      <c r="X14" s="205">
        <f t="shared" si="8"/>
        <v>1017.8990733285682</v>
      </c>
      <c r="Y14" s="216">
        <f t="shared" si="9"/>
        <v>17352.779886680772</v>
      </c>
    </row>
    <row r="15" spans="1:25" ht="15" thickBot="1" x14ac:dyDescent="0.4">
      <c r="A15" s="240">
        <v>7</v>
      </c>
      <c r="B15" s="246">
        <f>'SF and BM (Still Water)'!B14</f>
        <v>286.46865029030431</v>
      </c>
      <c r="C15" s="247">
        <f>'SW Buoyancy Hogging Cargo'!AB19</f>
        <v>296.80137234851014</v>
      </c>
      <c r="D15" s="205">
        <f t="shared" si="0"/>
        <v>-10.332722058205832</v>
      </c>
      <c r="E15" s="205">
        <f t="shared" si="10"/>
        <v>103.29550976073126</v>
      </c>
      <c r="F15" s="205">
        <f t="shared" si="10"/>
        <v>993.47357839491383</v>
      </c>
      <c r="G15" s="205">
        <f t="shared" si="1"/>
        <v>494.97917083470406</v>
      </c>
      <c r="H15" s="205">
        <f t="shared" si="11"/>
        <v>6.5886967186878298</v>
      </c>
      <c r="I15" s="205">
        <f t="shared" si="2"/>
        <v>501.56786755339192</v>
      </c>
      <c r="J15" s="205">
        <f t="shared" si="12"/>
        <v>22255.810626227521</v>
      </c>
      <c r="K15" s="205">
        <f t="shared" si="13"/>
        <v>1497.8524338603481</v>
      </c>
      <c r="L15" s="216">
        <f t="shared" si="3"/>
        <v>23753.663060087871</v>
      </c>
      <c r="N15" s="240">
        <v>7</v>
      </c>
      <c r="O15" s="246">
        <f>'SF and BM (Still Water)'!Q14</f>
        <v>261.60400059977781</v>
      </c>
      <c r="P15" s="248">
        <f>'SW Buoyancy Hogging Ballast'!AB19</f>
        <v>271.17961514130911</v>
      </c>
      <c r="Q15" s="205">
        <f t="shared" si="4"/>
        <v>-9.5756145415313085</v>
      </c>
      <c r="R15" s="205">
        <f t="shared" si="14"/>
        <v>103.28320914971688</v>
      </c>
      <c r="S15" s="205">
        <f t="shared" si="14"/>
        <v>946.8809362396413</v>
      </c>
      <c r="T15" s="205">
        <f t="shared" si="5"/>
        <v>494.92022784429952</v>
      </c>
      <c r="U15" s="205">
        <f t="shared" si="6"/>
        <v>5.3847315701803717</v>
      </c>
      <c r="V15" s="205">
        <f t="shared" si="7"/>
        <v>500.30495941447987</v>
      </c>
      <c r="W15" s="205">
        <f t="shared" si="15"/>
        <v>21212.041528655071</v>
      </c>
      <c r="X15" s="205">
        <f t="shared" si="8"/>
        <v>1187.5489188833294</v>
      </c>
      <c r="Y15" s="216">
        <f t="shared" si="9"/>
        <v>22399.590447538401</v>
      </c>
    </row>
    <row r="16" spans="1:25" ht="15" thickBot="1" x14ac:dyDescent="0.4">
      <c r="A16" s="240">
        <v>8</v>
      </c>
      <c r="B16" s="246">
        <f>'SF and BM (Still Water)'!B15</f>
        <v>288.04436119400719</v>
      </c>
      <c r="C16" s="247">
        <f>'SW Buoyancy Hogging Cargo'!AB20</f>
        <v>305.25346006588677</v>
      </c>
      <c r="D16" s="205">
        <f t="shared" si="0"/>
        <v>-17.209098871879576</v>
      </c>
      <c r="E16" s="205">
        <f t="shared" si="10"/>
        <v>75.753688830645856</v>
      </c>
      <c r="F16" s="205">
        <f t="shared" si="10"/>
        <v>1172.5227769862909</v>
      </c>
      <c r="G16" s="205">
        <f t="shared" si="1"/>
        <v>363.00220766535108</v>
      </c>
      <c r="H16" s="205">
        <f t="shared" si="11"/>
        <v>7.5299391070718045</v>
      </c>
      <c r="I16" s="205">
        <f t="shared" si="2"/>
        <v>370.53214677242289</v>
      </c>
      <c r="J16" s="205">
        <f t="shared" si="12"/>
        <v>26266.873570715277</v>
      </c>
      <c r="K16" s="205">
        <f t="shared" si="13"/>
        <v>1711.8313529832551</v>
      </c>
      <c r="L16" s="216">
        <f t="shared" si="3"/>
        <v>27978.704923698533</v>
      </c>
      <c r="N16" s="240">
        <v>8</v>
      </c>
      <c r="O16" s="246">
        <f>'SF and BM (Still Water)'!Q15</f>
        <v>263.50846183417821</v>
      </c>
      <c r="P16" s="248">
        <f>'SW Buoyancy Hogging Ballast'!AB20</f>
        <v>280.05067082923335</v>
      </c>
      <c r="Q16" s="205">
        <f t="shared" si="4"/>
        <v>-16.542208995055148</v>
      </c>
      <c r="R16" s="205">
        <f t="shared" si="14"/>
        <v>77.165385613130425</v>
      </c>
      <c r="S16" s="205">
        <f t="shared" si="14"/>
        <v>1127.3295310024887</v>
      </c>
      <c r="T16" s="205">
        <f t="shared" si="5"/>
        <v>369.76688218491927</v>
      </c>
      <c r="U16" s="205">
        <f t="shared" si="6"/>
        <v>6.1539789373489961</v>
      </c>
      <c r="V16" s="205">
        <f t="shared" si="7"/>
        <v>375.92086112226826</v>
      </c>
      <c r="W16" s="205">
        <f t="shared" si="15"/>
        <v>25254.453768041672</v>
      </c>
      <c r="X16" s="205">
        <f t="shared" si="8"/>
        <v>1357.1987644380908</v>
      </c>
      <c r="Y16" s="216">
        <f t="shared" si="9"/>
        <v>26611.652532479762</v>
      </c>
    </row>
    <row r="17" spans="1:25" ht="15" thickBot="1" x14ac:dyDescent="0.4">
      <c r="A17" s="240">
        <v>9</v>
      </c>
      <c r="B17" s="246">
        <f>'SF and BM (Still Water)'!B16</f>
        <v>287.67464112129136</v>
      </c>
      <c r="C17" s="247">
        <f>'SW Buoyancy Hogging Cargo'!AB21</f>
        <v>309.67820732882564</v>
      </c>
      <c r="D17" s="205">
        <f t="shared" si="0"/>
        <v>-22.003566207534277</v>
      </c>
      <c r="E17" s="205">
        <f t="shared" si="10"/>
        <v>36.541023751232004</v>
      </c>
      <c r="F17" s="205">
        <f t="shared" si="10"/>
        <v>1284.8174895681686</v>
      </c>
      <c r="G17" s="205">
        <f t="shared" si="1"/>
        <v>175.10001818793484</v>
      </c>
      <c r="H17" s="205">
        <f t="shared" si="11"/>
        <v>8.4711814954557791</v>
      </c>
      <c r="I17" s="205">
        <f t="shared" si="2"/>
        <v>183.5711996833906</v>
      </c>
      <c r="J17" s="205">
        <f t="shared" si="12"/>
        <v>28782.501476579386</v>
      </c>
      <c r="K17" s="205">
        <f t="shared" si="13"/>
        <v>1925.8102721061618</v>
      </c>
      <c r="L17" s="216">
        <f t="shared" si="3"/>
        <v>30708.311748685548</v>
      </c>
      <c r="N17" s="240">
        <v>9</v>
      </c>
      <c r="O17" s="246">
        <f>'SF and BM (Still Water)'!Q16</f>
        <v>263.44662941536632</v>
      </c>
      <c r="P17" s="248">
        <f>'SW Buoyancy Hogging Ballast'!AB21</f>
        <v>284.88505858752535</v>
      </c>
      <c r="Q17" s="205">
        <f t="shared" si="4"/>
        <v>-21.438429172159033</v>
      </c>
      <c r="R17" s="205">
        <f t="shared" si="14"/>
        <v>39.184747445916244</v>
      </c>
      <c r="S17" s="205">
        <f t="shared" si="14"/>
        <v>1243.6796640615353</v>
      </c>
      <c r="T17" s="205">
        <f t="shared" si="5"/>
        <v>187.76841166739987</v>
      </c>
      <c r="U17" s="205">
        <f t="shared" si="6"/>
        <v>6.9232263045176214</v>
      </c>
      <c r="V17" s="205">
        <f t="shared" si="7"/>
        <v>194.69163797191749</v>
      </c>
      <c r="W17" s="205">
        <f t="shared" si="15"/>
        <v>27860.931266801261</v>
      </c>
      <c r="X17" s="205">
        <f t="shared" si="8"/>
        <v>1526.8486099928521</v>
      </c>
      <c r="Y17" s="216">
        <f t="shared" si="9"/>
        <v>29387.779876794113</v>
      </c>
    </row>
    <row r="18" spans="1:25" ht="15" thickBot="1" x14ac:dyDescent="0.4">
      <c r="A18" s="240">
        <v>10</v>
      </c>
      <c r="B18" s="246">
        <f>'SF and BM (Still Water)'!B17</f>
        <v>287.304989108418</v>
      </c>
      <c r="C18" s="247">
        <f>'SW Buoyancy Hogging Cargo'!AB22</f>
        <v>310.97238148364283</v>
      </c>
      <c r="D18" s="205">
        <f t="shared" si="0"/>
        <v>-23.667392375224836</v>
      </c>
      <c r="E18" s="205">
        <f t="shared" si="10"/>
        <v>-9.1299348315271089</v>
      </c>
      <c r="F18" s="205">
        <f t="shared" si="10"/>
        <v>1312.2285784878736</v>
      </c>
      <c r="G18" s="205">
        <f t="shared" si="1"/>
        <v>-43.74950647082396</v>
      </c>
      <c r="H18" s="205">
        <f t="shared" si="11"/>
        <v>9.4124238838397556</v>
      </c>
      <c r="I18" s="205">
        <f t="shared" si="2"/>
        <v>-34.337082586984202</v>
      </c>
      <c r="J18" s="205">
        <f t="shared" si="12"/>
        <v>29396.565118856881</v>
      </c>
      <c r="K18" s="205">
        <f t="shared" si="13"/>
        <v>2139.7891912290688</v>
      </c>
      <c r="L18" s="216">
        <f t="shared" si="3"/>
        <v>31536.35431008595</v>
      </c>
      <c r="N18" s="240">
        <v>10</v>
      </c>
      <c r="O18" s="246">
        <f>'SF and BM (Still Water)'!Q17</f>
        <v>263.38482198336129</v>
      </c>
      <c r="P18" s="248">
        <f>'SW Buoyancy Hogging Ballast'!AB22</f>
        <v>286.60085351040453</v>
      </c>
      <c r="Q18" s="205">
        <f t="shared" si="4"/>
        <v>-23.216031527043242</v>
      </c>
      <c r="R18" s="205">
        <f t="shared" si="14"/>
        <v>-5.4697132532860309</v>
      </c>
      <c r="S18" s="205">
        <f t="shared" si="14"/>
        <v>1277.3946982541654</v>
      </c>
      <c r="T18" s="205">
        <f t="shared" si="5"/>
        <v>-26.210182195589994</v>
      </c>
      <c r="U18" s="205">
        <f t="shared" si="6"/>
        <v>7.6924736716862459</v>
      </c>
      <c r="V18" s="205">
        <f t="shared" si="7"/>
        <v>-18.51770852390375</v>
      </c>
      <c r="W18" s="205">
        <f t="shared" si="15"/>
        <v>28616.215989581971</v>
      </c>
      <c r="X18" s="205">
        <f t="shared" si="8"/>
        <v>1696.4984555476135</v>
      </c>
      <c r="Y18" s="216">
        <f t="shared" si="9"/>
        <v>30312.714445129586</v>
      </c>
    </row>
    <row r="19" spans="1:25" ht="15" thickBot="1" x14ac:dyDescent="0.4">
      <c r="A19" s="240">
        <v>11</v>
      </c>
      <c r="B19" s="246">
        <f>'SF and BM (Still Water)'!B18</f>
        <v>286.93540577148423</v>
      </c>
      <c r="C19" s="247">
        <f>'SW Buoyancy Hogging Cargo'!AB23</f>
        <v>308.61061909649271</v>
      </c>
      <c r="D19" s="205">
        <f t="shared" si="0"/>
        <v>-21.675213325008485</v>
      </c>
      <c r="E19" s="205">
        <f t="shared" si="10"/>
        <v>-54.47254053176043</v>
      </c>
      <c r="F19" s="205">
        <f t="shared" si="10"/>
        <v>1248.6261031245861</v>
      </c>
      <c r="G19" s="205">
        <f t="shared" si="1"/>
        <v>-261.02560516062948</v>
      </c>
      <c r="H19" s="205">
        <f t="shared" si="11"/>
        <v>10.35366627222373</v>
      </c>
      <c r="I19" s="205">
        <f t="shared" si="2"/>
        <v>-250.67193888840575</v>
      </c>
      <c r="J19" s="205">
        <f t="shared" si="12"/>
        <v>27971.741471979836</v>
      </c>
      <c r="K19" s="205">
        <f t="shared" si="13"/>
        <v>2353.7681103519758</v>
      </c>
      <c r="L19" s="216">
        <f t="shared" si="3"/>
        <v>30325.509582331812</v>
      </c>
      <c r="N19" s="240">
        <v>11</v>
      </c>
      <c r="O19" s="246">
        <f>'SF and BM (Still Water)'!Q18</f>
        <v>263.32303956347505</v>
      </c>
      <c r="P19" s="248">
        <f>'SW Buoyancy Hogging Ballast'!AB23</f>
        <v>284.67712846744945</v>
      </c>
      <c r="Q19" s="205">
        <f t="shared" si="4"/>
        <v>-21.3540889039744</v>
      </c>
      <c r="R19" s="205">
        <f t="shared" si="14"/>
        <v>-50.039833684303673</v>
      </c>
      <c r="S19" s="205">
        <f t="shared" si="14"/>
        <v>1221.8851513165757</v>
      </c>
      <c r="T19" s="205">
        <f t="shared" si="5"/>
        <v>-239.78462803597262</v>
      </c>
      <c r="U19" s="205">
        <f t="shared" si="6"/>
        <v>8.4617210388548703</v>
      </c>
      <c r="V19" s="205">
        <f t="shared" si="7"/>
        <v>-231.32290699711774</v>
      </c>
      <c r="W19" s="205">
        <f t="shared" si="15"/>
        <v>27372.690251749416</v>
      </c>
      <c r="X19" s="205">
        <f t="shared" si="8"/>
        <v>1866.1483011023749</v>
      </c>
      <c r="Y19" s="216">
        <f t="shared" si="9"/>
        <v>29238.83855285179</v>
      </c>
    </row>
    <row r="20" spans="1:25" ht="15" thickBot="1" x14ac:dyDescent="0.4">
      <c r="A20" s="240">
        <v>12</v>
      </c>
      <c r="B20" s="246">
        <f>'SF and BM (Still Water)'!B19</f>
        <v>286.56589170771298</v>
      </c>
      <c r="C20" s="247">
        <f>'SW Buoyancy Hogging Cargo'!AB24</f>
        <v>303.12072833606294</v>
      </c>
      <c r="D20" s="205">
        <f t="shared" si="0"/>
        <v>-16.55483662834996</v>
      </c>
      <c r="E20" s="205">
        <f t="shared" si="10"/>
        <v>-92.702590485118876</v>
      </c>
      <c r="F20" s="205">
        <f t="shared" si="10"/>
        <v>1101.4509721077068</v>
      </c>
      <c r="G20" s="205">
        <f t="shared" si="1"/>
        <v>-444.21922578087896</v>
      </c>
      <c r="H20" s="205">
        <f t="shared" si="11"/>
        <v>11.294908660607707</v>
      </c>
      <c r="I20" s="205">
        <f t="shared" si="2"/>
        <v>-432.92431712027127</v>
      </c>
      <c r="J20" s="205">
        <f t="shared" si="12"/>
        <v>24674.721887328284</v>
      </c>
      <c r="K20" s="205">
        <f t="shared" si="13"/>
        <v>2567.7470294748828</v>
      </c>
      <c r="L20" s="216">
        <f t="shared" si="3"/>
        <v>27242.468916803165</v>
      </c>
      <c r="N20" s="240">
        <v>12</v>
      </c>
      <c r="O20" s="246">
        <f>'SF and BM (Still Water)'!Q19</f>
        <v>263.26128218027219</v>
      </c>
      <c r="P20" s="248">
        <f>'SW Buoyancy Hogging Ballast'!AB24</f>
        <v>279.63588325191535</v>
      </c>
      <c r="Q20" s="205">
        <f t="shared" si="4"/>
        <v>-16.374601071643156</v>
      </c>
      <c r="R20" s="205">
        <f t="shared" si="14"/>
        <v>-87.768523659921229</v>
      </c>
      <c r="S20" s="205">
        <f t="shared" si="14"/>
        <v>1084.0767939723507</v>
      </c>
      <c r="T20" s="205">
        <f t="shared" si="5"/>
        <v>-420.57579431288497</v>
      </c>
      <c r="U20" s="205">
        <f t="shared" si="6"/>
        <v>9.2309684060234947</v>
      </c>
      <c r="V20" s="205">
        <f t="shared" si="7"/>
        <v>-411.34482590686144</v>
      </c>
      <c r="W20" s="205">
        <f t="shared" si="15"/>
        <v>24285.505277268505</v>
      </c>
      <c r="X20" s="205">
        <f t="shared" si="8"/>
        <v>2035.7981466571364</v>
      </c>
      <c r="Y20" s="216">
        <f t="shared" si="9"/>
        <v>26321.303423925641</v>
      </c>
    </row>
    <row r="21" spans="1:25" ht="15" thickBot="1" x14ac:dyDescent="0.4">
      <c r="A21" s="240">
        <v>13</v>
      </c>
      <c r="B21" s="246">
        <f>'SF and BM (Still Water)'!B20</f>
        <v>285.23128545088986</v>
      </c>
      <c r="C21" s="247">
        <f>'SW Buoyancy Hogging Cargo'!AB25</f>
        <v>294.58863784410096</v>
      </c>
      <c r="D21" s="205">
        <f t="shared" si="0"/>
        <v>-9.3573523932111016</v>
      </c>
      <c r="E21" s="205">
        <f t="shared" si="10"/>
        <v>-118.61477950667994</v>
      </c>
      <c r="F21" s="205">
        <f t="shared" si="10"/>
        <v>890.13360211590793</v>
      </c>
      <c r="G21" s="205">
        <f t="shared" si="1"/>
        <v>-568.38719654857186</v>
      </c>
      <c r="H21" s="205">
        <f t="shared" si="11"/>
        <v>12.236151048991683</v>
      </c>
      <c r="I21" s="205">
        <f t="shared" si="2"/>
        <v>-556.15104549958016</v>
      </c>
      <c r="J21" s="205">
        <f t="shared" si="12"/>
        <v>19940.786862938101</v>
      </c>
      <c r="K21" s="205">
        <f t="shared" si="13"/>
        <v>2781.7259485977893</v>
      </c>
      <c r="L21" s="216">
        <f t="shared" si="3"/>
        <v>22722.512811535889</v>
      </c>
      <c r="N21" s="240">
        <v>13</v>
      </c>
      <c r="O21" s="246">
        <f>'SF and BM (Still Water)'!Q20</f>
        <v>262.22888727810954</v>
      </c>
      <c r="P21" s="248">
        <f>'SW Buoyancy Hogging Ballast'!AB25</f>
        <v>271.55020135162158</v>
      </c>
      <c r="Q21" s="205">
        <f t="shared" si="4"/>
        <v>-9.3213140735120419</v>
      </c>
      <c r="R21" s="205">
        <f t="shared" si="14"/>
        <v>-113.46443880507643</v>
      </c>
      <c r="S21" s="205">
        <f t="shared" si="14"/>
        <v>882.84383150735312</v>
      </c>
      <c r="T21" s="205">
        <f t="shared" si="5"/>
        <v>-543.70740769907547</v>
      </c>
      <c r="U21" s="205">
        <f t="shared" si="6"/>
        <v>10.000215773192119</v>
      </c>
      <c r="V21" s="205">
        <f t="shared" si="7"/>
        <v>-533.70719192588331</v>
      </c>
      <c r="W21" s="205">
        <f t="shared" si="15"/>
        <v>19777.481307862588</v>
      </c>
      <c r="X21" s="205">
        <f t="shared" si="8"/>
        <v>2205.4479922118976</v>
      </c>
      <c r="Y21" s="216">
        <f t="shared" si="9"/>
        <v>21982.929300074487</v>
      </c>
    </row>
    <row r="22" spans="1:25" ht="15" thickBot="1" x14ac:dyDescent="0.4">
      <c r="A22" s="240">
        <v>14</v>
      </c>
      <c r="B22" s="246">
        <f>'SF and BM (Still Water)'!B21</f>
        <v>281.14357657059958</v>
      </c>
      <c r="C22" s="247">
        <f>'SW Buoyancy Hogging Cargo'!AB26</f>
        <v>282.27107824799936</v>
      </c>
      <c r="D22" s="205">
        <f t="shared" si="0"/>
        <v>-1.1275016773997777</v>
      </c>
      <c r="E22" s="205">
        <f t="shared" si="10"/>
        <v>-129.09963357729083</v>
      </c>
      <c r="F22" s="205">
        <f t="shared" si="10"/>
        <v>642.41918903193709</v>
      </c>
      <c r="G22" s="205">
        <f t="shared" si="1"/>
        <v>-618.62930664818043</v>
      </c>
      <c r="H22" s="205">
        <f t="shared" si="11"/>
        <v>13.17739343737566</v>
      </c>
      <c r="I22" s="205">
        <f t="shared" si="2"/>
        <v>-605.45191321080472</v>
      </c>
      <c r="J22" s="205">
        <f t="shared" si="12"/>
        <v>14391.484710493283</v>
      </c>
      <c r="K22" s="205">
        <f t="shared" si="13"/>
        <v>2995.7048677206963</v>
      </c>
      <c r="L22" s="216">
        <f t="shared" si="3"/>
        <v>17387.18957821398</v>
      </c>
      <c r="N22" s="240">
        <v>14</v>
      </c>
      <c r="O22" s="246">
        <f>'SF and BM (Still Water)'!Q21</f>
        <v>258.53747815475896</v>
      </c>
      <c r="P22" s="248">
        <f>'SW Buoyancy Hogging Ballast'!AB26</f>
        <v>259.76932349400926</v>
      </c>
      <c r="Q22" s="205">
        <f t="shared" si="4"/>
        <v>-1.2318453392502988</v>
      </c>
      <c r="R22" s="205">
        <f t="shared" si="14"/>
        <v>-124.01759821783877</v>
      </c>
      <c r="S22" s="205">
        <f t="shared" si="14"/>
        <v>645.36179448443795</v>
      </c>
      <c r="T22" s="205">
        <f t="shared" si="5"/>
        <v>-594.276828460106</v>
      </c>
      <c r="U22" s="205">
        <f t="shared" si="6"/>
        <v>10.769463140360743</v>
      </c>
      <c r="V22" s="205">
        <f t="shared" si="7"/>
        <v>-583.5073653197453</v>
      </c>
      <c r="W22" s="205">
        <f t="shared" si="15"/>
        <v>14457.405003818416</v>
      </c>
      <c r="X22" s="205">
        <f t="shared" si="8"/>
        <v>2375.0978377666588</v>
      </c>
      <c r="Y22" s="216">
        <f t="shared" si="9"/>
        <v>16832.502841585076</v>
      </c>
    </row>
    <row r="23" spans="1:25" ht="15" thickBot="1" x14ac:dyDescent="0.4">
      <c r="A23" s="240">
        <v>15</v>
      </c>
      <c r="B23" s="246">
        <f>'SF and BM (Still Water)'!B22</f>
        <v>271.20130881092228</v>
      </c>
      <c r="C23" s="247">
        <f>'SW Buoyancy Hogging Cargo'!AB27</f>
        <v>264.25225848976322</v>
      </c>
      <c r="D23" s="205">
        <f t="shared" si="0"/>
        <v>6.9490503211590635</v>
      </c>
      <c r="E23" s="205">
        <f t="shared" si="10"/>
        <v>-123.27808493353155</v>
      </c>
      <c r="F23" s="205">
        <f t="shared" si="10"/>
        <v>390.04147052111472</v>
      </c>
      <c r="G23" s="205">
        <f t="shared" si="1"/>
        <v>-590.73317324086634</v>
      </c>
      <c r="H23" s="205">
        <f t="shared" si="11"/>
        <v>14.118635825759634</v>
      </c>
      <c r="I23" s="205">
        <f t="shared" si="2"/>
        <v>-576.61453741510672</v>
      </c>
      <c r="J23" s="205">
        <f t="shared" si="12"/>
        <v>8737.7151170119887</v>
      </c>
      <c r="K23" s="205">
        <f t="shared" si="13"/>
        <v>3209.6837868436032</v>
      </c>
      <c r="L23" s="216">
        <f t="shared" si="3"/>
        <v>11947.398903855592</v>
      </c>
      <c r="N23" s="240">
        <v>15</v>
      </c>
      <c r="O23" s="246">
        <f>'SF and BM (Still Water)'!Q22</f>
        <v>249.21003854182339</v>
      </c>
      <c r="P23" s="248">
        <f>'SW Buoyancy Hogging Ballast'!AB27</f>
        <v>242.50747484930372</v>
      </c>
      <c r="Q23" s="205">
        <f t="shared" si="4"/>
        <v>6.702563692519675</v>
      </c>
      <c r="R23" s="205">
        <f t="shared" si="14"/>
        <v>-118.54687986456939</v>
      </c>
      <c r="S23" s="205">
        <f t="shared" si="14"/>
        <v>402.79731640202976</v>
      </c>
      <c r="T23" s="205">
        <f t="shared" si="5"/>
        <v>-568.06182995103336</v>
      </c>
      <c r="U23" s="205">
        <f t="shared" si="6"/>
        <v>11.538710507529368</v>
      </c>
      <c r="V23" s="205">
        <f t="shared" si="7"/>
        <v>-556.52311944350402</v>
      </c>
      <c r="W23" s="205">
        <f t="shared" si="15"/>
        <v>9023.4717757463386</v>
      </c>
      <c r="X23" s="205">
        <f t="shared" si="8"/>
        <v>2544.74768332142</v>
      </c>
      <c r="Y23" s="216">
        <f t="shared" si="9"/>
        <v>11568.219459067759</v>
      </c>
    </row>
    <row r="24" spans="1:25" ht="15" thickBot="1" x14ac:dyDescent="0.4">
      <c r="A24" s="240">
        <v>16</v>
      </c>
      <c r="B24" s="246">
        <f>'SF and BM (Still Water)'!B23</f>
        <v>248.70808380103063</v>
      </c>
      <c r="C24" s="247">
        <f>'SW Buoyancy Hogging Cargo'!AB28</f>
        <v>235.00591961031884</v>
      </c>
      <c r="D24" s="205">
        <f t="shared" si="0"/>
        <v>13.702164190711784</v>
      </c>
      <c r="E24" s="205">
        <f t="shared" si="10"/>
        <v>-102.6268704216607</v>
      </c>
      <c r="F24" s="205">
        <f t="shared" si="10"/>
        <v>164.13651516592248</v>
      </c>
      <c r="G24" s="205">
        <f t="shared" si="1"/>
        <v>-491.77513470179525</v>
      </c>
      <c r="H24" s="205">
        <f t="shared" si="11"/>
        <v>15.059878214143609</v>
      </c>
      <c r="I24" s="205">
        <f t="shared" si="2"/>
        <v>-476.71525648765163</v>
      </c>
      <c r="J24" s="205">
        <f t="shared" si="12"/>
        <v>3676.9887773800442</v>
      </c>
      <c r="K24" s="205">
        <f t="shared" si="13"/>
        <v>3423.6627059665102</v>
      </c>
      <c r="L24" s="216">
        <f t="shared" si="3"/>
        <v>7100.6514833465544</v>
      </c>
      <c r="N24" s="240">
        <v>16</v>
      </c>
      <c r="O24" s="246">
        <f>'SF and BM (Still Water)'!Q23</f>
        <v>228.16504045236317</v>
      </c>
      <c r="P24" s="248">
        <f>'SW Buoyancy Hogging Ballast'!AB28</f>
        <v>214.85217243571864</v>
      </c>
      <c r="Q24" s="205">
        <f t="shared" si="4"/>
        <v>13.312868016644529</v>
      </c>
      <c r="R24" s="205">
        <f t="shared" si="14"/>
        <v>-98.531448155405187</v>
      </c>
      <c r="S24" s="205">
        <f t="shared" si="14"/>
        <v>185.71898838205519</v>
      </c>
      <c r="T24" s="205">
        <f t="shared" si="5"/>
        <v>-472.15038312968215</v>
      </c>
      <c r="U24" s="205">
        <f t="shared" si="6"/>
        <v>12.307957874697992</v>
      </c>
      <c r="V24" s="205">
        <f t="shared" si="7"/>
        <v>-459.84242525498416</v>
      </c>
      <c r="W24" s="205">
        <f t="shared" si="15"/>
        <v>4160.4796795939928</v>
      </c>
      <c r="X24" s="205">
        <f t="shared" si="8"/>
        <v>2714.3975288761817</v>
      </c>
      <c r="Y24" s="216">
        <f t="shared" si="9"/>
        <v>6874.8772084701741</v>
      </c>
    </row>
    <row r="25" spans="1:25" ht="15" thickBot="1" x14ac:dyDescent="0.4">
      <c r="A25" s="240">
        <v>17</v>
      </c>
      <c r="B25" s="246">
        <f>'SF and BM (Still Water)'!B24</f>
        <v>209.83638098455668</v>
      </c>
      <c r="C25" s="247">
        <f>'SW Buoyancy Hogging Cargo'!AB29</f>
        <v>192.6820692549914</v>
      </c>
      <c r="D25" s="205">
        <f t="shared" si="0"/>
        <v>17.154311729565279</v>
      </c>
      <c r="E25" s="205">
        <f t="shared" si="10"/>
        <v>-71.770394501383635</v>
      </c>
      <c r="F25" s="205">
        <f t="shared" si="10"/>
        <v>-10.260749757121857</v>
      </c>
      <c r="G25" s="205">
        <f t="shared" si="1"/>
        <v>-343.91475915131764</v>
      </c>
      <c r="H25" s="205">
        <f t="shared" si="11"/>
        <v>16.001120602527585</v>
      </c>
      <c r="I25" s="205">
        <f t="shared" si="2"/>
        <v>-327.91363854879006</v>
      </c>
      <c r="J25" s="205">
        <f t="shared" si="12"/>
        <v>-229.8614763832588</v>
      </c>
      <c r="K25" s="205">
        <f t="shared" si="13"/>
        <v>3637.6416250894167</v>
      </c>
      <c r="L25" s="216">
        <f t="shared" si="3"/>
        <v>3407.7801487061579</v>
      </c>
      <c r="N25" s="240">
        <v>17</v>
      </c>
      <c r="O25" s="246">
        <f>'SF and BM (Still Water)'!Q24</f>
        <v>192.08889603738504</v>
      </c>
      <c r="P25" s="248">
        <f>'SW Buoyancy Hogging Ballast'!AB29</f>
        <v>175.44948575245826</v>
      </c>
      <c r="Q25" s="205">
        <f t="shared" si="4"/>
        <v>16.639410284926782</v>
      </c>
      <c r="R25" s="205">
        <f t="shared" si="14"/>
        <v>-68.579169853833875</v>
      </c>
      <c r="S25" s="205">
        <f t="shared" si="14"/>
        <v>18.608370372816125</v>
      </c>
      <c r="T25" s="205">
        <f t="shared" si="5"/>
        <v>-328.62280954334017</v>
      </c>
      <c r="U25" s="205">
        <f t="shared" si="6"/>
        <v>13.077205241866617</v>
      </c>
      <c r="V25" s="205">
        <f t="shared" si="7"/>
        <v>-315.54560430147353</v>
      </c>
      <c r="W25" s="205">
        <f t="shared" si="15"/>
        <v>416.86500384761388</v>
      </c>
      <c r="X25" s="205">
        <f t="shared" si="8"/>
        <v>2884.0473744309429</v>
      </c>
      <c r="Y25" s="216">
        <f t="shared" si="9"/>
        <v>3300.9123782785568</v>
      </c>
    </row>
    <row r="26" spans="1:25" ht="15" thickBot="1" x14ac:dyDescent="0.4">
      <c r="A26" s="240">
        <v>18</v>
      </c>
      <c r="B26" s="246">
        <f>'SF and BM (Still Water)'!B25</f>
        <v>155.65478671217048</v>
      </c>
      <c r="C26" s="247">
        <f>'SW Buoyancy Hogging Cargo'!AB30</f>
        <v>139.92698523778245</v>
      </c>
      <c r="D26" s="205">
        <f t="shared" si="0"/>
        <v>15.727801474388031</v>
      </c>
      <c r="E26" s="205">
        <f t="shared" ref="E26:F28" si="16">D26+D25+E25</f>
        <v>-38.888281297430325</v>
      </c>
      <c r="F26" s="205">
        <f t="shared" si="16"/>
        <v>-120.91942555593582</v>
      </c>
      <c r="G26" s="205">
        <f t="shared" si="1"/>
        <v>-186.3477829421239</v>
      </c>
      <c r="H26" s="205">
        <f t="shared" si="11"/>
        <v>16.942362990911558</v>
      </c>
      <c r="I26" s="205">
        <f t="shared" si="2"/>
        <v>-169.40541995121234</v>
      </c>
      <c r="J26" s="205">
        <f t="shared" si="12"/>
        <v>-2708.8388606700983</v>
      </c>
      <c r="K26" s="205">
        <f t="shared" si="13"/>
        <v>3851.6205442123237</v>
      </c>
      <c r="L26" s="216">
        <f t="shared" si="3"/>
        <v>1142.7816835422254</v>
      </c>
      <c r="N26" s="240">
        <v>18</v>
      </c>
      <c r="O26" s="246">
        <f>'SF and BM (Still Water)'!Q25</f>
        <v>142.43198908110554</v>
      </c>
      <c r="P26" s="248">
        <f>'SW Buoyancy Hogging Ballast'!AB30</f>
        <v>127.22554774926274</v>
      </c>
      <c r="Q26" s="205">
        <f t="shared" si="4"/>
        <v>15.206441331842797</v>
      </c>
      <c r="R26" s="205">
        <f t="shared" ref="R26:S28" si="17">Q26+Q25+R25</f>
        <v>-36.733318237064296</v>
      </c>
      <c r="S26" s="205">
        <f t="shared" si="17"/>
        <v>-86.704117718082045</v>
      </c>
      <c r="T26" s="205">
        <f t="shared" si="5"/>
        <v>-176.02146932723244</v>
      </c>
      <c r="U26" s="205">
        <f t="shared" si="6"/>
        <v>13.846452609035243</v>
      </c>
      <c r="V26" s="205">
        <f t="shared" si="7"/>
        <v>-162.17501671819718</v>
      </c>
      <c r="W26" s="205">
        <f t="shared" si="15"/>
        <v>-1942.3469998723133</v>
      </c>
      <c r="X26" s="205">
        <f t="shared" si="8"/>
        <v>3053.6972199857041</v>
      </c>
      <c r="Y26" s="216">
        <f t="shared" si="9"/>
        <v>1111.3502201133908</v>
      </c>
    </row>
    <row r="27" spans="1:25" ht="15" thickBot="1" x14ac:dyDescent="0.4">
      <c r="A27" s="240">
        <v>19</v>
      </c>
      <c r="B27" s="246">
        <f>'SF and BM (Still Water)'!B26</f>
        <v>82.585037787137338</v>
      </c>
      <c r="C27" s="247">
        <f>'SW Buoyancy Hogging Cargo'!AB31</f>
        <v>73.074166183661418</v>
      </c>
      <c r="D27" s="205">
        <f t="shared" si="0"/>
        <v>9.5108716034759198</v>
      </c>
      <c r="E27" s="205">
        <f t="shared" si="16"/>
        <v>-13.649608219566375</v>
      </c>
      <c r="F27" s="205">
        <f t="shared" si="16"/>
        <v>-173.45731507293252</v>
      </c>
      <c r="G27" s="205">
        <f t="shared" si="1"/>
        <v>-65.407216387134611</v>
      </c>
      <c r="H27" s="205">
        <f t="shared" si="11"/>
        <v>17.883605379295538</v>
      </c>
      <c r="I27" s="205">
        <f t="shared" si="2"/>
        <v>-47.523611007839072</v>
      </c>
      <c r="J27" s="205">
        <f t="shared" si="12"/>
        <v>-3885.7934825343818</v>
      </c>
      <c r="K27" s="205">
        <f t="shared" si="13"/>
        <v>4065.5994633352311</v>
      </c>
      <c r="L27" s="216">
        <f t="shared" si="3"/>
        <v>179.80598080084928</v>
      </c>
      <c r="N27" s="240">
        <v>19</v>
      </c>
      <c r="O27" s="246">
        <f>'SF and BM (Still Water)'!Q26</f>
        <v>75.483254609438475</v>
      </c>
      <c r="P27" s="248">
        <f>'SW Buoyancy Hogging Ballast'!AB31</f>
        <v>66.362067499994794</v>
      </c>
      <c r="Q27" s="205">
        <f t="shared" si="4"/>
        <v>9.1211871094436816</v>
      </c>
      <c r="R27" s="205">
        <f t="shared" si="17"/>
        <v>-12.405689795777818</v>
      </c>
      <c r="S27" s="205">
        <f t="shared" si="17"/>
        <v>-135.84312575092417</v>
      </c>
      <c r="T27" s="205">
        <f t="shared" si="5"/>
        <v>-59.446514790142821</v>
      </c>
      <c r="U27" s="205">
        <f t="shared" si="6"/>
        <v>14.615699976203866</v>
      </c>
      <c r="V27" s="205">
        <f t="shared" si="7"/>
        <v>-44.830814813938957</v>
      </c>
      <c r="W27" s="205">
        <f t="shared" si="15"/>
        <v>-3043.1598256210427</v>
      </c>
      <c r="X27" s="205">
        <f t="shared" si="8"/>
        <v>3223.3470655404658</v>
      </c>
      <c r="Y27" s="216">
        <f t="shared" si="9"/>
        <v>180.18723991942306</v>
      </c>
    </row>
    <row r="28" spans="1:25" ht="15" thickBot="1" x14ac:dyDescent="0.4">
      <c r="A28" s="240">
        <v>20</v>
      </c>
      <c r="B28" s="246">
        <f>'SF and BM (Still Water)'!B27</f>
        <v>0.25290604923030618</v>
      </c>
      <c r="C28" s="247">
        <f>'SW Buoyancy Hogging Cargo'!AB32</f>
        <v>4.2662511043493792E-2</v>
      </c>
      <c r="D28" s="226">
        <f t="shared" si="0"/>
        <v>0.21024353818681241</v>
      </c>
      <c r="E28" s="226">
        <f t="shared" si="16"/>
        <v>-3.9284930779036422</v>
      </c>
      <c r="F28" s="226">
        <f>E28+E27+F27</f>
        <v>-191.03541637040254</v>
      </c>
      <c r="G28" s="226">
        <f t="shared" si="1"/>
        <v>-18.824847767679511</v>
      </c>
      <c r="H28" s="226">
        <f t="shared" si="11"/>
        <v>18.824847767679511</v>
      </c>
      <c r="I28" s="226">
        <f t="shared" si="2"/>
        <v>0</v>
      </c>
      <c r="J28" s="226">
        <f t="shared" si="12"/>
        <v>-4279.5783824581376</v>
      </c>
      <c r="K28" s="226">
        <f t="shared" si="13"/>
        <v>4279.5783824581376</v>
      </c>
      <c r="L28" s="228">
        <f t="shared" si="3"/>
        <v>0</v>
      </c>
      <c r="N28" s="240">
        <v>20</v>
      </c>
      <c r="O28" s="246">
        <f>'SF and BM (Still Water)'!Q27</f>
        <v>1.8413564452917079E-2</v>
      </c>
      <c r="P28" s="248">
        <f>'SW Buoyancy Hogging Ballast'!AB32</f>
        <v>-5.5457095091602286E-2</v>
      </c>
      <c r="Q28" s="226">
        <f t="shared" si="4"/>
        <v>7.3870659544519365E-2</v>
      </c>
      <c r="R28" s="226">
        <f t="shared" si="17"/>
        <v>-3.2106320267896162</v>
      </c>
      <c r="S28" s="226">
        <f>R28+R27+S27</f>
        <v>-151.45944757349162</v>
      </c>
      <c r="T28" s="226">
        <f t="shared" si="5"/>
        <v>-15.38494734337249</v>
      </c>
      <c r="U28" s="226">
        <f t="shared" si="6"/>
        <v>15.384947343372492</v>
      </c>
      <c r="V28" s="226">
        <f t="shared" si="7"/>
        <v>0</v>
      </c>
      <c r="W28" s="226">
        <f t="shared" si="15"/>
        <v>-3392.996911095227</v>
      </c>
      <c r="X28" s="226">
        <f t="shared" si="8"/>
        <v>3392.996911095227</v>
      </c>
      <c r="Y28" s="228">
        <f t="shared" si="9"/>
        <v>0</v>
      </c>
    </row>
    <row r="31" spans="1:25" x14ac:dyDescent="0.35">
      <c r="A31" s="241" t="s">
        <v>492</v>
      </c>
      <c r="B31" s="1">
        <f>'SF and BM (Still Water)'!B32</f>
        <v>9.35</v>
      </c>
    </row>
    <row r="32" spans="1:25" x14ac:dyDescent="0.35">
      <c r="A32" s="241" t="s">
        <v>542</v>
      </c>
      <c r="B32" s="1">
        <v>1.0249999999999999</v>
      </c>
    </row>
  </sheetData>
  <mergeCells count="3">
    <mergeCell ref="B1:L2"/>
    <mergeCell ref="B5:L5"/>
    <mergeCell ref="O5:Y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E8E7-06CA-4F22-93C9-B8656205CBDF}">
  <dimension ref="A1:AP32"/>
  <sheetViews>
    <sheetView topLeftCell="G1" zoomScale="42" zoomScaleNormal="100" workbookViewId="0">
      <selection activeCell="O31" sqref="O31"/>
    </sheetView>
  </sheetViews>
  <sheetFormatPr defaultRowHeight="14.5" x14ac:dyDescent="0.35"/>
  <cols>
    <col min="1" max="1" width="19" bestFit="1" customWidth="1"/>
    <col min="2" max="2" width="12.453125" bestFit="1" customWidth="1"/>
    <col min="9" max="10" width="24.54296875" bestFit="1" customWidth="1"/>
    <col min="11" max="13" width="22" bestFit="1" customWidth="1"/>
    <col min="14" max="14" width="19.1796875" bestFit="1" customWidth="1"/>
    <col min="15" max="15" width="23" bestFit="1" customWidth="1"/>
    <col min="16" max="16" width="20.1796875" bestFit="1" customWidth="1"/>
    <col min="26" max="26" width="24.54296875" bestFit="1" customWidth="1"/>
    <col min="27" max="29" width="18.81640625" bestFit="1" customWidth="1"/>
    <col min="30" max="30" width="18.26953125" bestFit="1" customWidth="1"/>
    <col min="37" max="37" width="14.1796875" bestFit="1" customWidth="1"/>
    <col min="38" max="38" width="14.453125" bestFit="1" customWidth="1"/>
    <col min="39" max="39" width="14.26953125" bestFit="1" customWidth="1"/>
    <col min="40" max="40" width="14.54296875" bestFit="1" customWidth="1"/>
  </cols>
  <sheetData>
    <row r="1" spans="1:40" ht="15" thickBot="1" x14ac:dyDescent="0.4">
      <c r="C1" s="9"/>
      <c r="D1" s="9"/>
      <c r="E1" s="9"/>
      <c r="F1" s="9"/>
    </row>
    <row r="2" spans="1:40" ht="15" thickBot="1" x14ac:dyDescent="0.4">
      <c r="A2" s="250" t="s">
        <v>435</v>
      </c>
      <c r="B2" s="251">
        <f>B3/20</f>
        <v>9.35</v>
      </c>
      <c r="C2" s="9"/>
      <c r="D2" s="250" t="s">
        <v>48</v>
      </c>
      <c r="E2" s="251">
        <f>Prelude!D2</f>
        <v>26.1</v>
      </c>
      <c r="F2" s="9"/>
      <c r="I2" s="9"/>
      <c r="U2" s="252" t="s">
        <v>558</v>
      </c>
      <c r="V2" s="253">
        <f>10.75-((300-B3)/100)^(1/2)</f>
        <v>9.6869854187265361</v>
      </c>
      <c r="X2" s="254" t="s">
        <v>559</v>
      </c>
      <c r="Y2" s="249">
        <f>(-0.11)*V2*(B3^2)*E2*(E3+0.7)</f>
        <v>-1429625.8302648815</v>
      </c>
    </row>
    <row r="3" spans="1:40" ht="15" thickBot="1" x14ac:dyDescent="0.4">
      <c r="A3" s="255" t="s">
        <v>432</v>
      </c>
      <c r="B3" s="256">
        <f>Prelude!C2</f>
        <v>187</v>
      </c>
      <c r="C3" s="9"/>
      <c r="D3" s="255" t="s">
        <v>0</v>
      </c>
      <c r="E3" s="256">
        <f>Prelude!I2</f>
        <v>0.77</v>
      </c>
      <c r="F3" s="9"/>
      <c r="X3" s="257" t="s">
        <v>560</v>
      </c>
      <c r="Y3" s="228">
        <f>(0.19)*V2*(B3^2)*E2*(E3+0.7)</f>
        <v>2469353.7068211585</v>
      </c>
    </row>
    <row r="4" spans="1:40" ht="15" thickBot="1" x14ac:dyDescent="0.4">
      <c r="A4" s="9"/>
      <c r="B4" s="9"/>
      <c r="C4" s="9"/>
      <c r="D4" s="9"/>
      <c r="E4" s="9"/>
      <c r="F4" s="9"/>
    </row>
    <row r="5" spans="1:40" x14ac:dyDescent="0.35">
      <c r="A5" s="9"/>
      <c r="B5" s="9"/>
      <c r="C5" s="9"/>
      <c r="D5" s="9"/>
      <c r="E5" s="9"/>
      <c r="F5" s="9"/>
      <c r="X5" s="254" t="s">
        <v>561</v>
      </c>
      <c r="Y5" s="249">
        <f>-0.3*V2*B3*E2*(E3+0.7)</f>
        <v>-20850.157952331767</v>
      </c>
    </row>
    <row r="6" spans="1:40" ht="15" thickBot="1" x14ac:dyDescent="0.4">
      <c r="A6" s="9"/>
      <c r="B6" s="9"/>
      <c r="C6" s="9"/>
      <c r="D6" s="9"/>
      <c r="E6" s="9"/>
      <c r="F6" s="9"/>
      <c r="X6" s="257" t="s">
        <v>562</v>
      </c>
      <c r="Y6" s="228">
        <f>0.3*V2*B3*E2*(E3+0.7)</f>
        <v>20850.157952331767</v>
      </c>
      <c r="AL6" s="281"/>
    </row>
    <row r="7" spans="1:40" ht="15" thickBot="1" x14ac:dyDescent="0.4">
      <c r="A7" s="9"/>
      <c r="B7" s="9"/>
      <c r="C7" s="9"/>
    </row>
    <row r="8" spans="1:40" ht="15" thickBot="1" x14ac:dyDescent="0.4">
      <c r="A8" s="258" t="s">
        <v>563</v>
      </c>
      <c r="B8" s="259">
        <f>10.75-((300-B3)/100)^(3/2)</f>
        <v>9.5487935231609846</v>
      </c>
      <c r="C8" s="9"/>
      <c r="M8" s="388" t="s">
        <v>564</v>
      </c>
      <c r="N8" s="389"/>
      <c r="O8" s="388" t="s">
        <v>565</v>
      </c>
      <c r="P8" s="389"/>
      <c r="X8" s="375" t="s">
        <v>566</v>
      </c>
      <c r="Y8" s="375"/>
      <c r="Z8" s="375"/>
      <c r="AA8" s="375"/>
      <c r="AB8" s="375"/>
      <c r="AC8" s="375"/>
      <c r="AD8" s="375"/>
      <c r="AE8" s="375"/>
      <c r="AF8" s="375"/>
      <c r="AG8" s="376" t="s">
        <v>567</v>
      </c>
      <c r="AH8" s="376"/>
      <c r="AI8" s="376"/>
      <c r="AJ8" s="376"/>
      <c r="AK8" s="376"/>
      <c r="AL8" s="376"/>
      <c r="AM8" s="376"/>
      <c r="AN8" s="376"/>
    </row>
    <row r="9" spans="1:40" ht="15" thickBot="1" x14ac:dyDescent="0.4">
      <c r="A9" s="9"/>
      <c r="B9" s="9"/>
      <c r="C9" s="9"/>
      <c r="D9" s="260" t="s">
        <v>530</v>
      </c>
      <c r="E9" s="261" t="s">
        <v>568</v>
      </c>
      <c r="F9" s="261" t="s">
        <v>59</v>
      </c>
      <c r="G9" s="261" t="s">
        <v>569</v>
      </c>
      <c r="H9" s="261" t="s">
        <v>570</v>
      </c>
      <c r="I9" s="261" t="s">
        <v>571</v>
      </c>
      <c r="J9" s="261" t="s">
        <v>572</v>
      </c>
      <c r="K9" s="261" t="s">
        <v>573</v>
      </c>
      <c r="L9" s="261" t="s">
        <v>574</v>
      </c>
      <c r="M9" s="261" t="s">
        <v>575</v>
      </c>
      <c r="N9" s="261" t="s">
        <v>576</v>
      </c>
      <c r="O9" s="261" t="s">
        <v>577</v>
      </c>
      <c r="P9" s="262" t="s">
        <v>578</v>
      </c>
      <c r="U9" s="260" t="s">
        <v>530</v>
      </c>
      <c r="V9" s="263" t="s">
        <v>568</v>
      </c>
      <c r="W9" s="263" t="s">
        <v>59</v>
      </c>
      <c r="X9" s="263" t="s">
        <v>569</v>
      </c>
      <c r="Y9" s="263" t="s">
        <v>572</v>
      </c>
      <c r="Z9" s="263" t="s">
        <v>571</v>
      </c>
      <c r="AA9" s="263" t="s">
        <v>579</v>
      </c>
      <c r="AB9" s="263" t="s">
        <v>580</v>
      </c>
      <c r="AC9" s="264" t="s">
        <v>581</v>
      </c>
      <c r="AD9" s="265" t="s">
        <v>582</v>
      </c>
      <c r="AG9" s="266" t="s">
        <v>583</v>
      </c>
      <c r="AH9" s="263" t="s">
        <v>584</v>
      </c>
      <c r="AI9" s="263" t="s">
        <v>573</v>
      </c>
      <c r="AJ9" s="263" t="s">
        <v>574</v>
      </c>
      <c r="AK9" s="263" t="s">
        <v>585</v>
      </c>
      <c r="AL9" s="263" t="s">
        <v>586</v>
      </c>
      <c r="AM9" s="264" t="s">
        <v>587</v>
      </c>
      <c r="AN9" s="265" t="s">
        <v>588</v>
      </c>
    </row>
    <row r="10" spans="1:40" ht="15" thickBot="1" x14ac:dyDescent="0.4">
      <c r="A10" s="250" t="s">
        <v>589</v>
      </c>
      <c r="B10" s="267">
        <f>5*B13/B3</f>
        <v>-22265.441551041964</v>
      </c>
      <c r="C10" s="9"/>
      <c r="D10" s="268">
        <v>0</v>
      </c>
      <c r="E10" s="269">
        <f t="shared" ref="E10:E30" si="0">D10/20</f>
        <v>0</v>
      </c>
      <c r="F10" s="205">
        <f>$B$3*E10</f>
        <v>0</v>
      </c>
      <c r="G10" s="205">
        <v>0</v>
      </c>
      <c r="H10" s="205">
        <v>0</v>
      </c>
      <c r="I10" s="205">
        <f>G10*$B$13</f>
        <v>0</v>
      </c>
      <c r="J10" s="205">
        <f>G10*$B$14</f>
        <v>0</v>
      </c>
      <c r="K10" s="205">
        <f>H10*$B$10</f>
        <v>0</v>
      </c>
      <c r="L10" s="205">
        <f>H10*$B$11</f>
        <v>0</v>
      </c>
      <c r="M10" s="205">
        <f ca="1">'SF and BM (Still Water)'!M7*9.81</f>
        <v>0</v>
      </c>
      <c r="N10" s="205">
        <f ca="1">'SF and BM (Still Water)'!J7*9.81</f>
        <v>0</v>
      </c>
      <c r="O10" s="205">
        <f ca="1">'SF and BM (Still Water)'!AB7*9.81</f>
        <v>0</v>
      </c>
      <c r="P10" s="216">
        <f ca="1">'SF and BM (Still Water)'!Y7*9.81</f>
        <v>0</v>
      </c>
      <c r="U10" s="270">
        <v>0</v>
      </c>
      <c r="V10" s="271">
        <f>W10/$B$3</f>
        <v>0</v>
      </c>
      <c r="W10" s="248">
        <f>$B$2*U10</f>
        <v>0</v>
      </c>
      <c r="X10" s="248">
        <v>0</v>
      </c>
      <c r="Y10" s="248">
        <f>X10*$Y$2</f>
        <v>0</v>
      </c>
      <c r="Z10" s="248">
        <f>X10*$Y$6</f>
        <v>0</v>
      </c>
      <c r="AA10" s="205">
        <f>'SF and BM (Sagging)'!L8*9.81</f>
        <v>0</v>
      </c>
      <c r="AB10" s="205">
        <f>'SF and BM (Sagging)'!Y8*9.81</f>
        <v>0</v>
      </c>
      <c r="AC10" s="205">
        <f>'SF and BM (Hogging)'!L8*9.81</f>
        <v>0</v>
      </c>
      <c r="AD10" s="216">
        <f>'SF and BM (Hogging)'!Y8*9.81</f>
        <v>0</v>
      </c>
      <c r="AG10" s="271">
        <v>0</v>
      </c>
      <c r="AH10" s="248">
        <v>0</v>
      </c>
      <c r="AI10" s="248">
        <f>AG10*$Y$5</f>
        <v>0</v>
      </c>
      <c r="AJ10" s="248">
        <f>AG10*$Y$6</f>
        <v>0</v>
      </c>
      <c r="AK10" s="248">
        <f>'SF and BM (Sagging)'!I8*9.81</f>
        <v>0</v>
      </c>
      <c r="AL10" s="248">
        <f>'SF and BM (Sagging)'!V8*9.81</f>
        <v>0</v>
      </c>
      <c r="AM10" s="248">
        <f>'SF and BM (Hogging)'!I8*9.81</f>
        <v>0</v>
      </c>
      <c r="AN10" s="249">
        <f>'SF and BM (Hogging)'!V8*9.81</f>
        <v>0</v>
      </c>
    </row>
    <row r="11" spans="1:40" ht="15" thickBot="1" x14ac:dyDescent="0.4">
      <c r="A11" s="255" t="s">
        <v>590</v>
      </c>
      <c r="B11" s="272">
        <f>5*B14/B3</f>
        <v>25854.010885275835</v>
      </c>
      <c r="C11" s="9"/>
      <c r="D11" s="268">
        <v>1</v>
      </c>
      <c r="E11" s="269">
        <f t="shared" si="0"/>
        <v>0.05</v>
      </c>
      <c r="F11" s="205">
        <f t="shared" ref="F11:F30" si="1">$B$3*E11</f>
        <v>9.35</v>
      </c>
      <c r="G11" s="205">
        <f>G12/2</f>
        <v>7.4999999999999997E-2</v>
      </c>
      <c r="H11" s="205">
        <f>1*1/3</f>
        <v>0.33333333333333331</v>
      </c>
      <c r="I11" s="205">
        <f t="shared" ref="I11:I30" si="2">G11*$B$13</f>
        <v>-62454.563550672705</v>
      </c>
      <c r="J11" s="205">
        <f t="shared" ref="J11:J30" si="3">G11*$B$14</f>
        <v>72520.500533198719</v>
      </c>
      <c r="K11" s="205">
        <f t="shared" ref="K11:K30" si="4">H11*$B$10</f>
        <v>-7421.813850347321</v>
      </c>
      <c r="L11" s="205">
        <f t="shared" ref="L11:L30" si="5">H11*$B$11</f>
        <v>8618.0036284252783</v>
      </c>
      <c r="M11" s="205">
        <f ca="1">'SF and BM (Still Water)'!M8*9.81</f>
        <v>1948.7876740119</v>
      </c>
      <c r="N11" s="205">
        <f ca="1">'SF and BM (Still Water)'!J8*9.81</f>
        <v>1092.3919967573772</v>
      </c>
      <c r="O11" s="205">
        <f>'SF and BM (Still Water)'!AB8*9.81</f>
        <v>6317.8431974019995</v>
      </c>
      <c r="P11" s="216">
        <f>'SF and BM (Still Water)'!Y8*9.81</f>
        <v>1808.482664286272</v>
      </c>
      <c r="U11" s="270">
        <v>1</v>
      </c>
      <c r="V11" s="271">
        <f t="shared" ref="V11:V30" si="6">W11/$B$3</f>
        <v>4.9999999999999996E-2</v>
      </c>
      <c r="W11" s="248">
        <f t="shared" ref="W11:W30" si="7">$B$2*U11</f>
        <v>9.35</v>
      </c>
      <c r="X11" s="205">
        <f>1/8</f>
        <v>0.125</v>
      </c>
      <c r="Y11" s="205">
        <f t="shared" ref="Y11:Y30" si="8">X11*$Y$2</f>
        <v>-178703.22878311019</v>
      </c>
      <c r="Z11" s="205">
        <f t="shared" ref="Z11:Z30" si="9">X11*$Y$6</f>
        <v>2606.2697440414709</v>
      </c>
      <c r="AA11" s="205">
        <f>'SF and BM (Sagging)'!L9*9.81</f>
        <v>-4278.4735136050094</v>
      </c>
      <c r="AB11" s="205">
        <f>'SF and BM (Sagging)'!Y9*9.81</f>
        <v>-3316.1985012160244</v>
      </c>
      <c r="AC11" s="205">
        <f>'SF and BM (Hogging)'!L9*9.81</f>
        <v>5028.7278796722821</v>
      </c>
      <c r="AD11" s="216">
        <f>'SF and BM (Hogging)'!Y9*9.81</f>
        <v>3990.9926702297953</v>
      </c>
      <c r="AG11" s="273">
        <f>AG14/4</f>
        <v>0.23</v>
      </c>
      <c r="AH11" s="205">
        <f>AH14/4</f>
        <v>0.20821428571428574</v>
      </c>
      <c r="AI11" s="205">
        <f t="shared" ref="AI11:AI30" si="10">AG11*$Y$5</f>
        <v>-4795.5363290363066</v>
      </c>
      <c r="AJ11" s="205">
        <f t="shared" ref="AJ11:AJ30" si="11">AG11*$Y$6</f>
        <v>4795.5363290363066</v>
      </c>
      <c r="AK11" s="248">
        <f>'SF and BM (Sagging)'!I9*9.81</f>
        <v>-924.10967359429185</v>
      </c>
      <c r="AL11" s="248">
        <f>'SF and BM (Sagging)'!V9*9.81</f>
        <v>-756.05965883282579</v>
      </c>
      <c r="AM11" s="248">
        <f>'SF and BM (Hogging)'!I9*9.81</f>
        <v>635.88485693733355</v>
      </c>
      <c r="AN11" s="249">
        <f>'SF and BM (Hogging)'!V9*9.81</f>
        <v>505.24207824146134</v>
      </c>
    </row>
    <row r="12" spans="1:40" ht="15" thickBot="1" x14ac:dyDescent="0.4">
      <c r="A12" s="9"/>
      <c r="B12" s="9"/>
      <c r="C12" s="9"/>
      <c r="D12" s="268">
        <v>2</v>
      </c>
      <c r="E12" s="269">
        <f t="shared" si="0"/>
        <v>0.1</v>
      </c>
      <c r="F12" s="205">
        <f t="shared" si="1"/>
        <v>18.7</v>
      </c>
      <c r="G12" s="205">
        <v>0.15</v>
      </c>
      <c r="H12" s="205">
        <f>2/3</f>
        <v>0.66666666666666663</v>
      </c>
      <c r="I12" s="205">
        <f t="shared" si="2"/>
        <v>-124909.12710134541</v>
      </c>
      <c r="J12" s="205">
        <f t="shared" si="3"/>
        <v>145041.00106639744</v>
      </c>
      <c r="K12" s="205">
        <f t="shared" si="4"/>
        <v>-14843.627700694642</v>
      </c>
      <c r="L12" s="205">
        <f t="shared" si="5"/>
        <v>17236.007256850557</v>
      </c>
      <c r="M12" s="205">
        <f ca="1">'SF and BM (Still Water)'!M9*9.81</f>
        <v>5216.4385946262501</v>
      </c>
      <c r="N12" s="205">
        <f ca="1">'SF and BM (Still Water)'!J9*9.81</f>
        <v>263.64108614891251</v>
      </c>
      <c r="O12" s="205">
        <f>'SF and BM (Still Water)'!AB9*9.81</f>
        <v>23657.588713398924</v>
      </c>
      <c r="P12" s="216">
        <f>'SF and BM (Still Water)'!Y9*9.81</f>
        <v>2342.5305183347291</v>
      </c>
      <c r="U12" s="270">
        <v>2</v>
      </c>
      <c r="V12" s="271">
        <f t="shared" si="6"/>
        <v>9.9999999999999992E-2</v>
      </c>
      <c r="W12" s="248">
        <f t="shared" si="7"/>
        <v>18.7</v>
      </c>
      <c r="X12" s="205">
        <f>1/8+X11</f>
        <v>0.25</v>
      </c>
      <c r="Y12" s="205">
        <f t="shared" si="8"/>
        <v>-357406.45756622037</v>
      </c>
      <c r="Z12" s="205">
        <f t="shared" si="9"/>
        <v>5212.5394880829417</v>
      </c>
      <c r="AA12" s="205">
        <f>'SF and BM (Sagging)'!L10*9.81</f>
        <v>-19502.914170893509</v>
      </c>
      <c r="AB12" s="205">
        <f>'SF and BM (Sagging)'!Y10*9.81</f>
        <v>-16258.404018038256</v>
      </c>
      <c r="AC12" s="205">
        <f>'SF and BM (Hogging)'!L10*9.81</f>
        <v>18454.918768592128</v>
      </c>
      <c r="AD12" s="216">
        <f>'SF and BM (Hogging)'!Y10*9.81</f>
        <v>15281.441293182237</v>
      </c>
      <c r="AG12" s="273">
        <f>AG14*2/4</f>
        <v>0.46</v>
      </c>
      <c r="AH12" s="205">
        <f>AH14*2/4</f>
        <v>0.41642857142857148</v>
      </c>
      <c r="AI12" s="205">
        <f t="shared" si="10"/>
        <v>-9591.0726580726132</v>
      </c>
      <c r="AJ12" s="205">
        <f t="shared" si="11"/>
        <v>9591.0726580726132</v>
      </c>
      <c r="AK12" s="248">
        <f>'SF and BM (Sagging)'!I10*9.81</f>
        <v>-2322.9147928476596</v>
      </c>
      <c r="AL12" s="248">
        <f>'SF and BM (Sagging)'!V10*9.81</f>
        <v>-2043.9432774161064</v>
      </c>
      <c r="AM12" s="248">
        <f>'SF and BM (Hogging)'!I10*9.81</f>
        <v>1814.7159476916579</v>
      </c>
      <c r="AN12" s="249">
        <f>'SF and BM (Hogging)'!V10*9.81</f>
        <v>1576.473585797891</v>
      </c>
    </row>
    <row r="13" spans="1:40" ht="15" thickBot="1" x14ac:dyDescent="0.4">
      <c r="A13" s="250" t="s">
        <v>591</v>
      </c>
      <c r="B13" s="267">
        <f>(-0.065)*B8*(B3^2)*E2*(E3+0.7)</f>
        <v>-832727.51400896942</v>
      </c>
      <c r="C13" s="9"/>
      <c r="D13" s="268">
        <v>3</v>
      </c>
      <c r="E13" s="269">
        <f t="shared" si="0"/>
        <v>0.15</v>
      </c>
      <c r="F13" s="205">
        <f t="shared" si="1"/>
        <v>28.05</v>
      </c>
      <c r="G13" s="205">
        <f>$G$12+($G$16-$G$12)*((E13-$E$12)/($E$16-$E$12))</f>
        <v>0.36249999999999993</v>
      </c>
      <c r="H13" s="205">
        <v>1</v>
      </c>
      <c r="I13" s="205">
        <f t="shared" si="2"/>
        <v>-301863.72382825136</v>
      </c>
      <c r="J13" s="205">
        <f t="shared" si="3"/>
        <v>350515.75257712707</v>
      </c>
      <c r="K13" s="205">
        <f t="shared" si="4"/>
        <v>-22265.441551041964</v>
      </c>
      <c r="L13" s="205">
        <f t="shared" si="5"/>
        <v>25854.010885275835</v>
      </c>
      <c r="M13" s="205">
        <f ca="1">'SF and BM (Still Water)'!M10*9.81</f>
        <v>-12408.013454506347</v>
      </c>
      <c r="N13" s="205">
        <f ca="1">'SF and BM (Still Water)'!J10*9.81</f>
        <v>-3394.9757334251331</v>
      </c>
      <c r="O13" s="205">
        <f>'SF and BM (Still Water)'!AB10*9.81</f>
        <v>35159.604380451558</v>
      </c>
      <c r="P13" s="216">
        <f>'SF and BM (Still Water)'!Y10*9.81</f>
        <v>544.67475106180882</v>
      </c>
      <c r="U13" s="270">
        <v>3</v>
      </c>
      <c r="V13" s="271">
        <f t="shared" si="6"/>
        <v>0.15</v>
      </c>
      <c r="W13" s="248">
        <f t="shared" si="7"/>
        <v>28.049999999999997</v>
      </c>
      <c r="X13" s="205">
        <f t="shared" ref="X13:X18" si="12">1/8+X12</f>
        <v>0.375</v>
      </c>
      <c r="Y13" s="205">
        <f t="shared" si="8"/>
        <v>-536109.68634933059</v>
      </c>
      <c r="Z13" s="205">
        <f t="shared" si="9"/>
        <v>7818.809232124413</v>
      </c>
      <c r="AA13" s="205">
        <f>'SF and BM (Sagging)'!L11*9.81</f>
        <v>-48354.300207693115</v>
      </c>
      <c r="AB13" s="205">
        <f>'SF and BM (Sagging)'!Y11*9.81</f>
        <v>-42231.311972313182</v>
      </c>
      <c r="AC13" s="205">
        <f>'SF and BM (Hogging)'!L11*9.81</f>
        <v>44001.306995365223</v>
      </c>
      <c r="AD13" s="216">
        <f>'SF and BM (Hogging)'!Y11*9.81</f>
        <v>38052.412783398373</v>
      </c>
      <c r="AG13" s="273">
        <f>AG14*3/4</f>
        <v>0.69000000000000006</v>
      </c>
      <c r="AH13" s="205">
        <f>AH14*3/4</f>
        <v>0.62464285714285728</v>
      </c>
      <c r="AI13" s="205">
        <f t="shared" si="10"/>
        <v>-14386.608987108921</v>
      </c>
      <c r="AJ13" s="205">
        <f t="shared" si="11"/>
        <v>14386.608987108921</v>
      </c>
      <c r="AK13" s="248">
        <f>'SF and BM (Sagging)'!I11*9.81</f>
        <v>-3820.4957468328835</v>
      </c>
      <c r="AL13" s="248">
        <f>'SF and BM (Sagging)'!V11*9.81</f>
        <v>-3528.2800318310678</v>
      </c>
      <c r="AM13" s="248">
        <f>'SF and BM (Hogging)'!I11*9.81</f>
        <v>3246.9076128868896</v>
      </c>
      <c r="AN13" s="249">
        <f>'SF and BM (Hogging)'!V11*9.81</f>
        <v>2976.0615281123028</v>
      </c>
    </row>
    <row r="14" spans="1:40" ht="15" thickBot="1" x14ac:dyDescent="0.4">
      <c r="A14" s="255" t="s">
        <v>592</v>
      </c>
      <c r="B14" s="274">
        <f>B8*B3^2*E2*(0.1225-0.015*E3)</f>
        <v>966940.0071093163</v>
      </c>
      <c r="C14" s="9"/>
      <c r="D14" s="268">
        <v>4</v>
      </c>
      <c r="E14" s="269">
        <f t="shared" si="0"/>
        <v>0.2</v>
      </c>
      <c r="F14" s="205">
        <f t="shared" si="1"/>
        <v>37.4</v>
      </c>
      <c r="G14" s="205">
        <f>$G$12+($G$16-$G$12)*((E14-$E$12)/($E$16-$E$12))</f>
        <v>0.57500000000000007</v>
      </c>
      <c r="H14" s="205">
        <v>1</v>
      </c>
      <c r="I14" s="205">
        <f t="shared" si="2"/>
        <v>-478818.32055515749</v>
      </c>
      <c r="J14" s="205">
        <f t="shared" si="3"/>
        <v>555990.50408785697</v>
      </c>
      <c r="K14" s="205">
        <f t="shared" si="4"/>
        <v>-22265.441551041964</v>
      </c>
      <c r="L14" s="205">
        <f t="shared" si="5"/>
        <v>25854.010885275835</v>
      </c>
      <c r="M14" s="205">
        <f ca="1">'SF and BM (Still Water)'!M11*9.81</f>
        <v>-89875.427742950895</v>
      </c>
      <c r="N14" s="205">
        <f ca="1">'SF and BM (Still Water)'!J11*9.81</f>
        <v>-12555.461247149105</v>
      </c>
      <c r="O14" s="205">
        <f>'SF and BM (Still Water)'!AB11*9.81</f>
        <v>5662.5142131368229</v>
      </c>
      <c r="P14" s="216">
        <f>'SF and BM (Still Water)'!Y11*9.81</f>
        <v>-6442.4273382957372</v>
      </c>
      <c r="U14" s="270">
        <v>4</v>
      </c>
      <c r="V14" s="271">
        <f t="shared" si="6"/>
        <v>0.19999999999999998</v>
      </c>
      <c r="W14" s="248">
        <f t="shared" si="7"/>
        <v>37.4</v>
      </c>
      <c r="X14" s="205">
        <f t="shared" si="12"/>
        <v>0.5</v>
      </c>
      <c r="Y14" s="205">
        <f t="shared" si="8"/>
        <v>-714812.91513244074</v>
      </c>
      <c r="Z14" s="205">
        <f t="shared" si="9"/>
        <v>10425.078976165883</v>
      </c>
      <c r="AA14" s="205">
        <f>'SF and BM (Sagging)'!L12*9.81</f>
        <v>-90115.627244924326</v>
      </c>
      <c r="AB14" s="205">
        <f>'SF and BM (Sagging)'!Y12*9.81</f>
        <v>-81290.230244846258</v>
      </c>
      <c r="AC14" s="205">
        <f>'SF and BM (Hogging)'!L12*9.81</f>
        <v>82220.200981888571</v>
      </c>
      <c r="AD14" s="216">
        <f>'SF and BM (Hogging)'!Y12*9.81</f>
        <v>73516.222278597794</v>
      </c>
      <c r="AG14" s="273">
        <v>0.92</v>
      </c>
      <c r="AH14" s="205">
        <f>1.59*($E$3/($E$3+0.7))</f>
        <v>0.83285714285714296</v>
      </c>
      <c r="AI14" s="205">
        <f t="shared" si="10"/>
        <v>-19182.145316145226</v>
      </c>
      <c r="AJ14" s="205">
        <f t="shared" si="11"/>
        <v>19182.145316145226</v>
      </c>
      <c r="AK14" s="248">
        <f>'SF and BM (Sagging)'!I12*9.81</f>
        <v>-5065.9309454275353</v>
      </c>
      <c r="AL14" s="248">
        <f>'SF and BM (Sagging)'!V12*9.81</f>
        <v>-4827.9942131534826</v>
      </c>
      <c r="AM14" s="248">
        <f>'SF and BM (Hogging)'!I12*9.81</f>
        <v>4543.8795425496692</v>
      </c>
      <c r="AN14" s="249">
        <f>'SF and BM (Hogging)'!V12*9.81</f>
        <v>4306.6117817050072</v>
      </c>
    </row>
    <row r="15" spans="1:40" ht="15" thickBot="1" x14ac:dyDescent="0.4">
      <c r="A15" s="9"/>
      <c r="B15" s="9"/>
      <c r="C15" s="9"/>
      <c r="D15" s="268">
        <v>5</v>
      </c>
      <c r="E15" s="269">
        <f t="shared" si="0"/>
        <v>0.25</v>
      </c>
      <c r="F15" s="205">
        <f t="shared" si="1"/>
        <v>46.75</v>
      </c>
      <c r="G15" s="205">
        <f>$G$12+($G$16-$G$12)*((E15-$E$12)/($E$16-$E$12))</f>
        <v>0.78749999999999998</v>
      </c>
      <c r="H15" s="205">
        <v>1</v>
      </c>
      <c r="I15" s="205">
        <f t="shared" si="2"/>
        <v>-655772.9172820634</v>
      </c>
      <c r="J15" s="205">
        <f t="shared" si="3"/>
        <v>761465.25559858652</v>
      </c>
      <c r="K15" s="205">
        <f t="shared" si="4"/>
        <v>-22265.441551041964</v>
      </c>
      <c r="L15" s="205">
        <f t="shared" si="5"/>
        <v>25854.010885275835</v>
      </c>
      <c r="M15" s="205">
        <f ca="1">'SF and BM (Still Water)'!M12*9.81</f>
        <v>-178414.66109858704</v>
      </c>
      <c r="N15" s="205">
        <f ca="1">'SF and BM (Still Water)'!J12*9.81</f>
        <v>-5781.7479764300315</v>
      </c>
      <c r="O15" s="205">
        <f>'SF and BM (Still Water)'!AB12*9.81</f>
        <v>2453.5408202297149</v>
      </c>
      <c r="P15" s="216">
        <f>'SF and BM (Still Water)'!Y12*9.81</f>
        <v>6152.7056877521945</v>
      </c>
      <c r="U15" s="270">
        <v>5</v>
      </c>
      <c r="V15" s="271">
        <f t="shared" si="6"/>
        <v>0.25</v>
      </c>
      <c r="W15" s="248">
        <f t="shared" si="7"/>
        <v>46.75</v>
      </c>
      <c r="X15" s="205">
        <f t="shared" si="12"/>
        <v>0.625</v>
      </c>
      <c r="Y15" s="205">
        <f t="shared" si="8"/>
        <v>-893516.1439155509</v>
      </c>
      <c r="Z15" s="205">
        <f t="shared" si="9"/>
        <v>13031.348720207354</v>
      </c>
      <c r="AA15" s="205">
        <f>'SF and BM (Sagging)'!L13*9.81</f>
        <v>-141103.49585569801</v>
      </c>
      <c r="AB15" s="205">
        <f>'SF and BM (Sagging)'!Y13*9.81</f>
        <v>-130201.83550035562</v>
      </c>
      <c r="AC15" s="205">
        <f>'SF and BM (Hogging)'!L13*9.81</f>
        <v>130252.03163325712</v>
      </c>
      <c r="AD15" s="216">
        <f>'SF and BM (Hogging)'!Y13*9.81</f>
        <v>119296.12403342965</v>
      </c>
      <c r="AG15" s="273">
        <v>0.92</v>
      </c>
      <c r="AH15" s="205">
        <f>1.59*($E$3/($E$3+0.7))</f>
        <v>0.83285714285714296</v>
      </c>
      <c r="AI15" s="205">
        <f t="shared" si="10"/>
        <v>-19182.145316145226</v>
      </c>
      <c r="AJ15" s="205">
        <f t="shared" si="11"/>
        <v>19182.145316145226</v>
      </c>
      <c r="AK15" s="248">
        <f>'SF and BM (Sagging)'!I13*9.81</f>
        <v>-5775.6189738749808</v>
      </c>
      <c r="AL15" s="248">
        <f>'SF and BM (Sagging)'!V13*9.81</f>
        <v>-5620.7110028022762</v>
      </c>
      <c r="AM15" s="248">
        <f>'SF and BM (Hogging)'!I13*9.81</f>
        <v>5364.3986740753689</v>
      </c>
      <c r="AN15" s="249">
        <f>'SF and BM (Hogging)'!V13*9.81</f>
        <v>5197.8049121796676</v>
      </c>
    </row>
    <row r="16" spans="1:40" ht="15" thickBot="1" x14ac:dyDescent="0.4">
      <c r="A16" s="9" t="s">
        <v>593</v>
      </c>
      <c r="B16" s="9"/>
      <c r="C16" s="9"/>
      <c r="D16" s="268">
        <v>6</v>
      </c>
      <c r="E16" s="269">
        <f t="shared" si="0"/>
        <v>0.3</v>
      </c>
      <c r="F16" s="205">
        <f t="shared" si="1"/>
        <v>56.1</v>
      </c>
      <c r="G16" s="205">
        <v>1</v>
      </c>
      <c r="H16" s="205">
        <v>1</v>
      </c>
      <c r="I16" s="205">
        <f t="shared" si="2"/>
        <v>-832727.51400896942</v>
      </c>
      <c r="J16" s="205">
        <f t="shared" si="3"/>
        <v>966940.0071093163</v>
      </c>
      <c r="K16" s="205">
        <f t="shared" si="4"/>
        <v>-22265.441551041964</v>
      </c>
      <c r="L16" s="205">
        <f t="shared" si="5"/>
        <v>25854.010885275835</v>
      </c>
      <c r="M16" s="205">
        <f ca="1">'SF and BM (Still Water)'!M13*9.81</f>
        <v>-212765.48861618954</v>
      </c>
      <c r="N16" s="205">
        <f ca="1">'SF and BM (Still Water)'!J13*9.81</f>
        <v>-982.82709331436638</v>
      </c>
      <c r="O16" s="205">
        <f>'SF and BM (Still Water)'!AB13*9.81</f>
        <v>109566.02337250025</v>
      </c>
      <c r="P16" s="216">
        <f>'SF and BM (Still Water)'!Y13*9.81</f>
        <v>17140.649410324069</v>
      </c>
      <c r="U16" s="270">
        <v>6</v>
      </c>
      <c r="V16" s="271">
        <f t="shared" si="6"/>
        <v>0.3</v>
      </c>
      <c r="W16" s="248">
        <f t="shared" si="7"/>
        <v>56.099999999999994</v>
      </c>
      <c r="X16" s="205">
        <f t="shared" si="12"/>
        <v>0.75</v>
      </c>
      <c r="Y16" s="205">
        <f t="shared" si="8"/>
        <v>-1072219.3726986612</v>
      </c>
      <c r="Z16" s="205">
        <f t="shared" si="9"/>
        <v>15637.618464248826</v>
      </c>
      <c r="AA16" s="205">
        <f>'SF and BM (Sagging)'!L14*9.81</f>
        <v>-195598.13674395366</v>
      </c>
      <c r="AB16" s="205">
        <f>'SF and BM (Sagging)'!Y14*9.81</f>
        <v>-183380.21563809353</v>
      </c>
      <c r="AC16" s="205">
        <f>'SF and BM (Hogging)'!L14*9.81</f>
        <v>182718.7919752328</v>
      </c>
      <c r="AD16" s="216">
        <f>'SF and BM (Hogging)'!Y14*9.81</f>
        <v>170230.77068833838</v>
      </c>
      <c r="AG16" s="273">
        <v>0.92</v>
      </c>
      <c r="AH16" s="205">
        <f>1.59*($E$3/($E$3+0.7))</f>
        <v>0.83285714285714296</v>
      </c>
      <c r="AI16" s="205">
        <f t="shared" si="10"/>
        <v>-19182.145316145226</v>
      </c>
      <c r="AJ16" s="205">
        <f t="shared" si="11"/>
        <v>19182.145316145226</v>
      </c>
      <c r="AK16" s="248">
        <f>'SF and BM (Sagging)'!I14*9.81</f>
        <v>-5797.5741091411755</v>
      </c>
      <c r="AL16" s="248">
        <f>'SF and BM (Sagging)'!V14*9.81</f>
        <v>-5725.5776759433438</v>
      </c>
      <c r="AM16" s="248">
        <f>'SF and BM (Hogging)'!I14*9.81</f>
        <v>5510.9947803717187</v>
      </c>
      <c r="AN16" s="249">
        <f>'SF and BM (Hogging)'!V14*9.81</f>
        <v>5424.3236450118275</v>
      </c>
    </row>
    <row r="17" spans="4:42" ht="15" thickBot="1" x14ac:dyDescent="0.4">
      <c r="D17" s="268">
        <v>7</v>
      </c>
      <c r="E17" s="269">
        <f t="shared" si="0"/>
        <v>0.35</v>
      </c>
      <c r="F17" s="205">
        <f t="shared" si="1"/>
        <v>65.45</v>
      </c>
      <c r="G17" s="205">
        <v>1</v>
      </c>
      <c r="H17" s="205">
        <v>0.9</v>
      </c>
      <c r="I17" s="205">
        <f t="shared" si="2"/>
        <v>-832727.51400896942</v>
      </c>
      <c r="J17" s="205">
        <f t="shared" si="3"/>
        <v>966940.0071093163</v>
      </c>
      <c r="K17" s="205">
        <f t="shared" si="4"/>
        <v>-20038.897395937769</v>
      </c>
      <c r="L17" s="205">
        <f t="shared" si="5"/>
        <v>23268.609796748253</v>
      </c>
      <c r="M17" s="205">
        <f ca="1">'SF and BM (Still Water)'!M14*9.81</f>
        <v>-202014.02717051248</v>
      </c>
      <c r="N17" s="205">
        <f ca="1">'SF and BM (Still Water)'!J14*9.81</f>
        <v>3847.3317656925851</v>
      </c>
      <c r="O17" s="205">
        <f>'SF and BM (Still Water)'!AB14*9.81</f>
        <v>204368.23941926725</v>
      </c>
      <c r="P17" s="216">
        <f>'SF and BM (Still Water)'!Y14*9.81</f>
        <v>3504.39795494286</v>
      </c>
      <c r="U17" s="270">
        <v>7</v>
      </c>
      <c r="V17" s="271">
        <f t="shared" si="6"/>
        <v>0.35000000000000003</v>
      </c>
      <c r="W17" s="248">
        <f t="shared" si="7"/>
        <v>65.45</v>
      </c>
      <c r="X17" s="205">
        <f t="shared" si="12"/>
        <v>0.875</v>
      </c>
      <c r="Y17" s="205">
        <f t="shared" si="8"/>
        <v>-1250922.6014817713</v>
      </c>
      <c r="Z17" s="205">
        <f t="shared" si="9"/>
        <v>18243.888208290296</v>
      </c>
      <c r="AA17" s="205">
        <f>'SF and BM (Sagging)'!L15*9.81</f>
        <v>-246973.93931805182</v>
      </c>
      <c r="AB17" s="205">
        <f>'SF and BM (Sagging)'!Y15*9.81</f>
        <v>-234151.45611651815</v>
      </c>
      <c r="AC17" s="205">
        <f>'SF and BM (Hogging)'!L15*9.81</f>
        <v>233023.43461946203</v>
      </c>
      <c r="AD17" s="216">
        <f>'SF and BM (Hogging)'!Y15*9.81</f>
        <v>219739.98229035173</v>
      </c>
      <c r="AG17" s="273">
        <f>AG16-(AG16-AG18)/2</f>
        <v>0.81</v>
      </c>
      <c r="AH17" s="205">
        <f>AH16-(AH16-AH18)/2</f>
        <v>0.76642857142857146</v>
      </c>
      <c r="AI17" s="205">
        <f t="shared" si="10"/>
        <v>-16888.627941388731</v>
      </c>
      <c r="AJ17" s="205">
        <f t="shared" si="11"/>
        <v>16888.627941388731</v>
      </c>
      <c r="AK17" s="248">
        <f>'SF and BM (Sagging)'!I15*9.81</f>
        <v>-5090.0192302860614</v>
      </c>
      <c r="AL17" s="248">
        <f>'SF and BM (Sagging)'!V15*9.81</f>
        <v>-5090.7191625885489</v>
      </c>
      <c r="AM17" s="248">
        <f>'SF and BM (Hogging)'!I15*9.81</f>
        <v>4920.3807806987752</v>
      </c>
      <c r="AN17" s="249">
        <f>'SF and BM (Hogging)'!V15*9.81</f>
        <v>4907.9916518560476</v>
      </c>
    </row>
    <row r="18" spans="4:42" ht="15" thickBot="1" x14ac:dyDescent="0.4">
      <c r="D18" s="268">
        <v>8</v>
      </c>
      <c r="E18" s="269">
        <f t="shared" si="0"/>
        <v>0.4</v>
      </c>
      <c r="F18" s="205">
        <f t="shared" si="1"/>
        <v>74.8</v>
      </c>
      <c r="G18" s="205">
        <v>1</v>
      </c>
      <c r="H18" s="205">
        <v>0.8</v>
      </c>
      <c r="I18" s="205">
        <f t="shared" si="2"/>
        <v>-832727.51400896942</v>
      </c>
      <c r="J18" s="205">
        <f t="shared" si="3"/>
        <v>966940.0071093163</v>
      </c>
      <c r="K18" s="205">
        <f t="shared" si="4"/>
        <v>-17812.35324083357</v>
      </c>
      <c r="L18" s="205">
        <f t="shared" si="5"/>
        <v>20683.208708220671</v>
      </c>
      <c r="M18" s="205">
        <f ca="1">'SF and BM (Still Water)'!M15*9.81</f>
        <v>-166271.73817487704</v>
      </c>
      <c r="N18" s="205">
        <f ca="1">'SF and BM (Still Water)'!J15*9.81</f>
        <v>4344.3357689534705</v>
      </c>
      <c r="O18" s="205">
        <f>'SF and BM (Still Water)'!AB15*9.81</f>
        <v>172837.15819365712</v>
      </c>
      <c r="P18" s="216">
        <f>'SF and BM (Still Water)'!Y15*9.81</f>
        <v>-9897.6114276988519</v>
      </c>
      <c r="U18" s="270">
        <v>8</v>
      </c>
      <c r="V18" s="271">
        <f t="shared" si="6"/>
        <v>0.39999999999999997</v>
      </c>
      <c r="W18" s="248">
        <f t="shared" si="7"/>
        <v>74.8</v>
      </c>
      <c r="X18" s="205">
        <f t="shared" si="12"/>
        <v>1</v>
      </c>
      <c r="Y18" s="205">
        <f t="shared" si="8"/>
        <v>-1429625.8302648815</v>
      </c>
      <c r="Z18" s="205">
        <f t="shared" si="9"/>
        <v>20850.157952331767</v>
      </c>
      <c r="AA18" s="205">
        <f>'SF and BM (Sagging)'!L16*9.81</f>
        <v>-288640.06330654176</v>
      </c>
      <c r="AB18" s="205">
        <f>'SF and BM (Sagging)'!Y16*9.81</f>
        <v>-275828.05743077747</v>
      </c>
      <c r="AC18" s="205">
        <f>'SF and BM (Hogging)'!L16*9.81</f>
        <v>274471.09530148265</v>
      </c>
      <c r="AD18" s="216">
        <f>'SF and BM (Hogging)'!Y16*9.81</f>
        <v>261060.31134362647</v>
      </c>
      <c r="AG18" s="273">
        <v>0.7</v>
      </c>
      <c r="AH18" s="205">
        <v>0.7</v>
      </c>
      <c r="AI18" s="205">
        <f t="shared" si="10"/>
        <v>-14595.110566632236</v>
      </c>
      <c r="AJ18" s="205">
        <f t="shared" si="11"/>
        <v>14595.110566632236</v>
      </c>
      <c r="AK18" s="248">
        <f>'SF and BM (Sagging)'!I16*9.81</f>
        <v>-3702.1689598943562</v>
      </c>
      <c r="AL18" s="248">
        <f>'SF and BM (Sagging)'!V16*9.81</f>
        <v>-3765.1046582211575</v>
      </c>
      <c r="AM18" s="248">
        <f>'SF and BM (Hogging)'!I16*9.81</f>
        <v>3634.9203598374688</v>
      </c>
      <c r="AN18" s="249">
        <f>'SF and BM (Hogging)'!V16*9.81</f>
        <v>3687.7836476094517</v>
      </c>
    </row>
    <row r="19" spans="4:42" ht="15" thickBot="1" x14ac:dyDescent="0.4">
      <c r="D19" s="268">
        <v>9</v>
      </c>
      <c r="E19" s="269">
        <f t="shared" si="0"/>
        <v>0.45</v>
      </c>
      <c r="F19" s="205">
        <f t="shared" si="1"/>
        <v>84.15</v>
      </c>
      <c r="G19" s="205">
        <v>1</v>
      </c>
      <c r="H19" s="205">
        <v>0.8</v>
      </c>
      <c r="I19" s="205">
        <f t="shared" si="2"/>
        <v>-832727.51400896942</v>
      </c>
      <c r="J19" s="205">
        <f t="shared" si="3"/>
        <v>966940.0071093163</v>
      </c>
      <c r="K19" s="205">
        <f t="shared" si="4"/>
        <v>-17812.35324083357</v>
      </c>
      <c r="L19" s="205">
        <f t="shared" si="5"/>
        <v>20683.208708220671</v>
      </c>
      <c r="M19" s="205">
        <f ca="1">'SF and BM (Still Water)'!M16*9.81</f>
        <v>-126195.88167519603</v>
      </c>
      <c r="N19" s="205">
        <f ca="1">'SF and BM (Still Water)'!J16*9.81</f>
        <v>4755.8293774977719</v>
      </c>
      <c r="O19" s="205">
        <f>'SF and BM (Still Water)'!AB16*9.81</f>
        <v>137054.17734761559</v>
      </c>
      <c r="P19" s="216">
        <f>'SF and BM (Still Water)'!Y16*9.81</f>
        <v>2579.8050638601849</v>
      </c>
      <c r="U19" s="270">
        <v>9</v>
      </c>
      <c r="V19" s="271">
        <f t="shared" si="6"/>
        <v>0.44999999999999996</v>
      </c>
      <c r="W19" s="248">
        <f t="shared" si="7"/>
        <v>84.149999999999991</v>
      </c>
      <c r="X19" s="205">
        <v>1</v>
      </c>
      <c r="Y19" s="205">
        <f t="shared" si="8"/>
        <v>-1429625.8302648815</v>
      </c>
      <c r="Z19" s="205">
        <f t="shared" si="9"/>
        <v>20850.157952331767</v>
      </c>
      <c r="AA19" s="205">
        <f>'SF and BM (Sagging)'!L17*9.81</f>
        <v>-314927.26508891681</v>
      </c>
      <c r="AB19" s="205">
        <f>'SF and BM (Sagging)'!Y17*9.81</f>
        <v>-302642.87901740818</v>
      </c>
      <c r="AC19" s="205">
        <f>'SF and BM (Hogging)'!L17*9.81</f>
        <v>301248.53825460526</v>
      </c>
      <c r="AD19" s="216">
        <f>'SF and BM (Hogging)'!Y17*9.81</f>
        <v>288294.12059135025</v>
      </c>
      <c r="AG19" s="273">
        <v>0.7</v>
      </c>
      <c r="AH19" s="205">
        <v>0.7</v>
      </c>
      <c r="AI19" s="205">
        <f t="shared" si="10"/>
        <v>-14595.110566632236</v>
      </c>
      <c r="AJ19" s="205">
        <f t="shared" si="11"/>
        <v>14595.110566632236</v>
      </c>
      <c r="AK19" s="248">
        <f>'SF and BM (Sagging)'!I17*9.81</f>
        <v>-1781.9416488452975</v>
      </c>
      <c r="AL19" s="248">
        <f>'SF and BM (Sagging)'!V17*9.81</f>
        <v>-1896.6331901148546</v>
      </c>
      <c r="AM19" s="248">
        <f>'SF and BM (Hogging)'!I17*9.81</f>
        <v>1800.833468894062</v>
      </c>
      <c r="AN19" s="249">
        <f>'SF and BM (Hogging)'!V17*9.81</f>
        <v>1909.9249685045106</v>
      </c>
    </row>
    <row r="20" spans="4:42" ht="15" thickBot="1" x14ac:dyDescent="0.4">
      <c r="D20" s="268">
        <v>10</v>
      </c>
      <c r="E20" s="269">
        <f t="shared" si="0"/>
        <v>0.5</v>
      </c>
      <c r="F20" s="205">
        <f t="shared" si="1"/>
        <v>93.5</v>
      </c>
      <c r="G20" s="205">
        <v>1</v>
      </c>
      <c r="H20" s="205">
        <v>0.8</v>
      </c>
      <c r="I20" s="205">
        <f t="shared" si="2"/>
        <v>-832727.51400896942</v>
      </c>
      <c r="J20" s="205">
        <f t="shared" si="3"/>
        <v>966940.0071093163</v>
      </c>
      <c r="K20" s="205">
        <f t="shared" si="4"/>
        <v>-17812.35324083357</v>
      </c>
      <c r="L20" s="205">
        <f t="shared" si="5"/>
        <v>20683.208708220671</v>
      </c>
      <c r="M20" s="205">
        <f ca="1">'SF and BM (Still Water)'!M17*9.81</f>
        <v>-85601.590906940401</v>
      </c>
      <c r="N20" s="205">
        <f ca="1">'SF and BM (Still Water)'!J17*9.81</f>
        <v>4436.7621004440307</v>
      </c>
      <c r="O20" s="205">
        <f>'SF and BM (Still Water)'!AB17*9.81</f>
        <v>218071.78492609912</v>
      </c>
      <c r="P20" s="216">
        <f>'SF and BM (Still Water)'!Y17*9.81</f>
        <v>15071.376011690443</v>
      </c>
      <c r="U20" s="270">
        <v>10</v>
      </c>
      <c r="V20" s="271">
        <f t="shared" si="6"/>
        <v>0.5</v>
      </c>
      <c r="W20" s="248">
        <f t="shared" si="7"/>
        <v>93.5</v>
      </c>
      <c r="X20" s="205">
        <v>1</v>
      </c>
      <c r="Y20" s="205">
        <f t="shared" si="8"/>
        <v>-1429625.8302648815</v>
      </c>
      <c r="Z20" s="205">
        <f t="shared" si="9"/>
        <v>20850.157952331767</v>
      </c>
      <c r="AA20" s="205">
        <f>'SF and BM (Sagging)'!L18*9.81</f>
        <v>-321997.11306560924</v>
      </c>
      <c r="AB20" s="205">
        <f>'SF and BM (Sagging)'!Y18*9.81</f>
        <v>-310660.9906507241</v>
      </c>
      <c r="AC20" s="205">
        <f>'SF and BM (Hogging)'!L18*9.81</f>
        <v>309371.63578194316</v>
      </c>
      <c r="AD20" s="216">
        <f>'SF and BM (Hogging)'!Y18*9.81</f>
        <v>297367.72870672127</v>
      </c>
      <c r="AG20" s="273">
        <v>0.7</v>
      </c>
      <c r="AH20" s="205">
        <v>0.7</v>
      </c>
      <c r="AI20" s="205">
        <f t="shared" si="10"/>
        <v>-14595.110566632236</v>
      </c>
      <c r="AJ20" s="205">
        <f t="shared" si="11"/>
        <v>14595.110566632236</v>
      </c>
      <c r="AK20" s="248">
        <f>'SF and BM (Sagging)'!I18*9.81</f>
        <v>426.96350915447579</v>
      </c>
      <c r="AL20" s="248">
        <f>'SF and BM (Sagging)'!V18*9.81</f>
        <v>270.67761921214054</v>
      </c>
      <c r="AM20" s="248">
        <f>'SF and BM (Hogging)'!I18*9.81</f>
        <v>-336.84678017831504</v>
      </c>
      <c r="AN20" s="249">
        <f>'SF and BM (Hogging)'!V18*9.81</f>
        <v>-181.6587206194958</v>
      </c>
    </row>
    <row r="21" spans="4:42" ht="15" thickBot="1" x14ac:dyDescent="0.4">
      <c r="D21" s="268">
        <v>11</v>
      </c>
      <c r="E21" s="269">
        <f t="shared" si="0"/>
        <v>0.55000000000000004</v>
      </c>
      <c r="F21" s="205">
        <f t="shared" si="1"/>
        <v>102.85000000000001</v>
      </c>
      <c r="G21" s="205">
        <v>1</v>
      </c>
      <c r="H21" s="205">
        <v>0.8</v>
      </c>
      <c r="I21" s="205">
        <f t="shared" si="2"/>
        <v>-832727.51400896942</v>
      </c>
      <c r="J21" s="205">
        <f t="shared" si="3"/>
        <v>966940.0071093163</v>
      </c>
      <c r="K21" s="205">
        <f t="shared" si="4"/>
        <v>-17812.35324083357</v>
      </c>
      <c r="L21" s="205">
        <f t="shared" si="5"/>
        <v>20683.208708220671</v>
      </c>
      <c r="M21" s="205">
        <f ca="1">'SF and BM (Still Water)'!M18*9.81</f>
        <v>-44108.817115122241</v>
      </c>
      <c r="N21" s="205">
        <f ca="1">'SF and BM (Still Water)'!J18*9.81</f>
        <v>4929.5495603226327</v>
      </c>
      <c r="O21" s="205">
        <f>'SF and BM (Still Water)'!AB18*9.81</f>
        <v>297811.92077662144</v>
      </c>
      <c r="P21" s="216">
        <f>'SF and BM (Still Water)'!Y18*9.81</f>
        <v>2291.453433198963</v>
      </c>
      <c r="U21" s="270">
        <v>11</v>
      </c>
      <c r="V21" s="271">
        <f t="shared" si="6"/>
        <v>0.54999999999999993</v>
      </c>
      <c r="W21" s="248">
        <f t="shared" si="7"/>
        <v>102.85</v>
      </c>
      <c r="X21" s="205">
        <v>1</v>
      </c>
      <c r="Y21" s="205">
        <f t="shared" si="8"/>
        <v>-1429625.8302648815</v>
      </c>
      <c r="Z21" s="205">
        <f t="shared" si="9"/>
        <v>20850.157952331767</v>
      </c>
      <c r="AA21" s="205">
        <f>'SF and BM (Sagging)'!L19*9.81</f>
        <v>-308634.67779188405</v>
      </c>
      <c r="AB21" s="205">
        <f>'SF and BM (Sagging)'!Y19*9.81</f>
        <v>-298573.68655307253</v>
      </c>
      <c r="AC21" s="205">
        <f>'SF and BM (Hogging)'!L19*9.81</f>
        <v>297493.24900267506</v>
      </c>
      <c r="AD21" s="216">
        <f>'SF and BM (Hogging)'!Y19*9.81</f>
        <v>286833.00620347605</v>
      </c>
      <c r="AG21" s="273">
        <v>0.7</v>
      </c>
      <c r="AH21" s="205">
        <v>0.7</v>
      </c>
      <c r="AI21" s="205">
        <f t="shared" si="10"/>
        <v>-14595.110566632236</v>
      </c>
      <c r="AJ21" s="205">
        <f t="shared" si="11"/>
        <v>14595.110566632236</v>
      </c>
      <c r="AK21" s="248">
        <f>'SF and BM (Sagging)'!I19*9.81</f>
        <v>2607.0687762965945</v>
      </c>
      <c r="AL21" s="248">
        <f>'SF and BM (Sagging)'!V19*9.81</f>
        <v>2419.0861520569929</v>
      </c>
      <c r="AM21" s="248">
        <f>'SF and BM (Hogging)'!I19*9.81</f>
        <v>-2459.0917204952607</v>
      </c>
      <c r="AN21" s="249">
        <f>'SF and BM (Hogging)'!V19*9.81</f>
        <v>-2269.2777176417253</v>
      </c>
    </row>
    <row r="22" spans="4:42" ht="15" thickBot="1" x14ac:dyDescent="0.4">
      <c r="D22" s="268">
        <v>12</v>
      </c>
      <c r="E22" s="269">
        <f t="shared" si="0"/>
        <v>0.6</v>
      </c>
      <c r="F22" s="205">
        <f t="shared" si="1"/>
        <v>112.2</v>
      </c>
      <c r="G22" s="205">
        <v>1</v>
      </c>
      <c r="H22" s="205">
        <v>0.8</v>
      </c>
      <c r="I22" s="205">
        <f t="shared" si="2"/>
        <v>-832727.51400896942</v>
      </c>
      <c r="J22" s="205">
        <f t="shared" si="3"/>
        <v>966940.0071093163</v>
      </c>
      <c r="K22" s="205">
        <f t="shared" si="4"/>
        <v>-17812.35324083357</v>
      </c>
      <c r="L22" s="205">
        <f t="shared" si="5"/>
        <v>20683.208708220671</v>
      </c>
      <c r="M22" s="205">
        <f ca="1">'SF and BM (Still Water)'!M19*9.81</f>
        <v>-4946.5966022210259</v>
      </c>
      <c r="N22" s="205">
        <f ca="1">'SF and BM (Still Water)'!J19*9.81</f>
        <v>3919.7793308668734</v>
      </c>
      <c r="O22" s="205">
        <f>'SF and BM (Still Water)'!AB19*9.81</f>
        <v>258166.8941557683</v>
      </c>
      <c r="P22" s="216">
        <f>'SF and BM (Still Water)'!Y19*9.81</f>
        <v>-10480.652783337469</v>
      </c>
      <c r="U22" s="270">
        <v>12</v>
      </c>
      <c r="V22" s="271">
        <f t="shared" si="6"/>
        <v>0.6</v>
      </c>
      <c r="W22" s="248">
        <f t="shared" si="7"/>
        <v>112.19999999999999</v>
      </c>
      <c r="X22" s="205">
        <v>1</v>
      </c>
      <c r="Y22" s="205">
        <f t="shared" si="8"/>
        <v>-1429625.8302648815</v>
      </c>
      <c r="Z22" s="205">
        <f t="shared" si="9"/>
        <v>20850.157952331767</v>
      </c>
      <c r="AA22" s="205">
        <f>'SF and BM (Sagging)'!L20*9.81</f>
        <v>-276593.15038124606</v>
      </c>
      <c r="AB22" s="205">
        <f>'SF and BM (Sagging)'!Y20*9.81</f>
        <v>-268042.82105106104</v>
      </c>
      <c r="AC22" s="205">
        <f>'SF and BM (Hogging)'!L20*9.81</f>
        <v>267248.62007383909</v>
      </c>
      <c r="AD22" s="216">
        <f>'SF and BM (Hogging)'!Y20*9.81</f>
        <v>258211.98658871054</v>
      </c>
      <c r="AG22" s="273">
        <v>0.7</v>
      </c>
      <c r="AH22" s="205">
        <v>0.7</v>
      </c>
      <c r="AI22" s="205">
        <f t="shared" si="10"/>
        <v>-14595.110566632236</v>
      </c>
      <c r="AJ22" s="205">
        <f t="shared" si="11"/>
        <v>14595.110566632236</v>
      </c>
      <c r="AK22" s="248">
        <f>'SF and BM (Sagging)'!I20*9.81</f>
        <v>4440.9597923701886</v>
      </c>
      <c r="AL22" s="248">
        <f>'SF and BM (Sagging)'!V20*9.81</f>
        <v>4230.9201000775693</v>
      </c>
      <c r="AM22" s="248">
        <f>'SF and BM (Hogging)'!I20*9.81</f>
        <v>-4246.9875509498615</v>
      </c>
      <c r="AN22" s="249">
        <f>'SF and BM (Hogging)'!V20*9.81</f>
        <v>-4035.292742146311</v>
      </c>
    </row>
    <row r="23" spans="4:42" ht="15" thickBot="1" x14ac:dyDescent="0.4">
      <c r="D23" s="268">
        <v>13</v>
      </c>
      <c r="E23" s="269">
        <f t="shared" si="0"/>
        <v>0.65</v>
      </c>
      <c r="F23" s="205">
        <f t="shared" si="1"/>
        <v>121.55</v>
      </c>
      <c r="G23" s="205">
        <v>1</v>
      </c>
      <c r="H23" s="205">
        <v>0.9</v>
      </c>
      <c r="I23" s="205">
        <f t="shared" si="2"/>
        <v>-832727.51400896942</v>
      </c>
      <c r="J23" s="205">
        <f t="shared" si="3"/>
        <v>966940.0071093163</v>
      </c>
      <c r="K23" s="205">
        <f t="shared" si="4"/>
        <v>-20038.897395937769</v>
      </c>
      <c r="L23" s="205">
        <f t="shared" si="5"/>
        <v>23268.609796748253</v>
      </c>
      <c r="M23" s="205">
        <f ca="1">'SF and BM (Still Water)'!M20*9.81</f>
        <v>25121.272017997038</v>
      </c>
      <c r="N23" s="205">
        <f ca="1">'SF and BM (Still Water)'!J20*9.81</f>
        <v>2965.7649482286351</v>
      </c>
      <c r="O23" s="205">
        <f>'SF and BM (Still Water)'!AB20*9.81</f>
        <v>217481.24600062479</v>
      </c>
      <c r="P23" s="216">
        <f>'SF and BM (Still Water)'!Y20*9.81</f>
        <v>2053.7649455689143</v>
      </c>
      <c r="U23" s="270">
        <v>13</v>
      </c>
      <c r="V23" s="271">
        <f t="shared" si="6"/>
        <v>0.65</v>
      </c>
      <c r="W23" s="248">
        <f t="shared" si="7"/>
        <v>121.55</v>
      </c>
      <c r="X23" s="205">
        <v>1</v>
      </c>
      <c r="Y23" s="205">
        <f t="shared" si="8"/>
        <v>-1429625.8302648815</v>
      </c>
      <c r="Z23" s="205">
        <f t="shared" si="9"/>
        <v>20850.157952331767</v>
      </c>
      <c r="AA23" s="205">
        <f>'SF and BM (Sagging)'!L21*9.81</f>
        <v>-230250.23450526322</v>
      </c>
      <c r="AB23" s="205">
        <f>'SF and BM (Sagging)'!Y21*9.81</f>
        <v>-223356.22254015811</v>
      </c>
      <c r="AC23" s="205">
        <f>'SF and BM (Hogging)'!L21*9.81</f>
        <v>222907.8506811671</v>
      </c>
      <c r="AD23" s="216">
        <f>'SF and BM (Hogging)'!Y21*9.81</f>
        <v>215652.53643373074</v>
      </c>
      <c r="AG23" s="273">
        <f>AG24-(AG24-AG22)/2</f>
        <v>0.80862416107382551</v>
      </c>
      <c r="AH23" s="205">
        <f>1-0.3/2</f>
        <v>0.85</v>
      </c>
      <c r="AI23" s="205">
        <f t="shared" si="10"/>
        <v>-16859.941482461025</v>
      </c>
      <c r="AJ23" s="205">
        <f t="shared" si="11"/>
        <v>16859.941482461025</v>
      </c>
      <c r="AK23" s="248">
        <f>'SF and BM (Sagging)'!I21*9.81</f>
        <v>5684.6578570378742</v>
      </c>
      <c r="AL23" s="248">
        <f>'SF and BM (Sagging)'!V21*9.81</f>
        <v>5462.1460884371654</v>
      </c>
      <c r="AM23" s="248">
        <f>'SF and BM (Hogging)'!I21*9.81</f>
        <v>-5455.841756350882</v>
      </c>
      <c r="AN23" s="249">
        <f>'SF and BM (Hogging)'!V21*9.81</f>
        <v>-5235.6675527929156</v>
      </c>
    </row>
    <row r="24" spans="4:42" ht="15" thickBot="1" x14ac:dyDescent="0.4">
      <c r="D24" s="268">
        <v>14</v>
      </c>
      <c r="E24" s="269">
        <f t="shared" si="0"/>
        <v>0.7</v>
      </c>
      <c r="F24" s="205">
        <f t="shared" si="1"/>
        <v>130.9</v>
      </c>
      <c r="G24" s="205">
        <v>1</v>
      </c>
      <c r="H24" s="205">
        <v>1</v>
      </c>
      <c r="I24" s="205">
        <f t="shared" si="2"/>
        <v>-832727.51400896942</v>
      </c>
      <c r="J24" s="205">
        <f t="shared" si="3"/>
        <v>966940.0071093163</v>
      </c>
      <c r="K24" s="205">
        <f t="shared" si="4"/>
        <v>-22265.441551041964</v>
      </c>
      <c r="L24" s="205">
        <f t="shared" si="5"/>
        <v>25854.010885275835</v>
      </c>
      <c r="M24" s="205">
        <f ca="1">'SF and BM (Still Water)'!M21*9.81</f>
        <v>46864.264122498927</v>
      </c>
      <c r="N24" s="205">
        <f ca="1">'SF and BM (Still Water)'!J21*9.81</f>
        <v>2120.5883822952237</v>
      </c>
      <c r="O24" s="205">
        <f>'SF and BM (Still Water)'!AB21*9.81</f>
        <v>289301.46205760492</v>
      </c>
      <c r="P24" s="216">
        <f>'SF and BM (Still Water)'!Y21*9.81</f>
        <v>13569.677070511429</v>
      </c>
      <c r="U24" s="270">
        <v>14</v>
      </c>
      <c r="V24" s="271">
        <f t="shared" si="6"/>
        <v>0.70000000000000007</v>
      </c>
      <c r="W24" s="248">
        <f t="shared" si="7"/>
        <v>130.9</v>
      </c>
      <c r="X24" s="205">
        <f t="shared" ref="X24:X29" si="13">X25+1/7</f>
        <v>0.85714285714285698</v>
      </c>
      <c r="Y24" s="205">
        <f t="shared" si="8"/>
        <v>-1225393.5687984696</v>
      </c>
      <c r="Z24" s="205">
        <f t="shared" si="9"/>
        <v>17871.563959141513</v>
      </c>
      <c r="AA24" s="205">
        <f>'SF and BM (Sagging)'!L22*9.81</f>
        <v>-175811.02626249482</v>
      </c>
      <c r="AB24" s="205">
        <f>'SF and BM (Sagging)'!Y22*9.81</f>
        <v>-170629.37802877315</v>
      </c>
      <c r="AC24" s="205">
        <f>'SF and BM (Hogging)'!L22*9.81</f>
        <v>170568.32976227914</v>
      </c>
      <c r="AD24" s="216">
        <f>'SF and BM (Hogging)'!Y22*9.81</f>
        <v>165126.85287594961</v>
      </c>
      <c r="AG24" s="273">
        <v>0.91724832214765106</v>
      </c>
      <c r="AH24" s="205">
        <v>1</v>
      </c>
      <c r="AI24" s="205">
        <f t="shared" si="10"/>
        <v>-19124.772398289817</v>
      </c>
      <c r="AJ24" s="205">
        <f t="shared" si="11"/>
        <v>19124.772398289817</v>
      </c>
      <c r="AK24" s="248">
        <f>'SF and BM (Sagging)'!I22*9.81</f>
        <v>6191.255589997204</v>
      </c>
      <c r="AL24" s="248">
        <f>'SF and BM (Sagging)'!V22*9.81</f>
        <v>5965.8544731616266</v>
      </c>
      <c r="AM24" s="248">
        <f>'SF and BM (Hogging)'!I22*9.81</f>
        <v>-5939.4832685979945</v>
      </c>
      <c r="AN24" s="249">
        <f>'SF and BM (Hogging)'!V22*9.81</f>
        <v>-5724.2072537867016</v>
      </c>
    </row>
    <row r="25" spans="4:42" ht="15" thickBot="1" x14ac:dyDescent="0.4">
      <c r="D25" s="268">
        <v>15</v>
      </c>
      <c r="E25" s="269">
        <f t="shared" si="0"/>
        <v>0.75</v>
      </c>
      <c r="F25" s="205">
        <f t="shared" si="1"/>
        <v>140.25</v>
      </c>
      <c r="G25" s="205">
        <f>$G$24+($G$28-$G$24)*((E25-$E$24)/($E$28-$E$24))</f>
        <v>0.78749999999999987</v>
      </c>
      <c r="H25" s="205">
        <v>1</v>
      </c>
      <c r="I25" s="205">
        <f t="shared" si="2"/>
        <v>-655772.91728206328</v>
      </c>
      <c r="J25" s="205">
        <f t="shared" si="3"/>
        <v>761465.2555985864</v>
      </c>
      <c r="K25" s="205">
        <f t="shared" si="4"/>
        <v>-22265.441551041964</v>
      </c>
      <c r="L25" s="205">
        <f t="shared" si="5"/>
        <v>25854.010885275835</v>
      </c>
      <c r="M25" s="205">
        <f ca="1">'SF and BM (Still Water)'!M22*9.81</f>
        <v>56943.721912993286</v>
      </c>
      <c r="N25" s="205">
        <f ca="1">'SF and BM (Still Water)'!J22*9.81</f>
        <v>452.4225989529541</v>
      </c>
      <c r="O25" s="205">
        <f>'SF and BM (Still Water)'!AB22*9.81</f>
        <v>345386.39377325878</v>
      </c>
      <c r="P25" s="216">
        <f>'SF and BM (Still Water)'!Y22*9.81</f>
        <v>-1327.1669232452721</v>
      </c>
      <c r="U25" s="270">
        <v>15</v>
      </c>
      <c r="V25" s="271">
        <f t="shared" si="6"/>
        <v>0.75</v>
      </c>
      <c r="W25" s="248">
        <f t="shared" si="7"/>
        <v>140.25</v>
      </c>
      <c r="X25" s="205">
        <f t="shared" si="13"/>
        <v>0.71428571428571419</v>
      </c>
      <c r="Y25" s="205">
        <f t="shared" si="8"/>
        <v>-1021161.3073320581</v>
      </c>
      <c r="Z25" s="205">
        <f t="shared" si="9"/>
        <v>14892.969965951261</v>
      </c>
      <c r="AA25" s="205">
        <f>'SF and BM (Sagging)'!L23*9.81</f>
        <v>-120371.45282812306</v>
      </c>
      <c r="AB25" s="205">
        <f>'SF and BM (Sagging)'!Y23*9.81</f>
        <v>-116866.15051404478</v>
      </c>
      <c r="AC25" s="205">
        <f>'SF and BM (Hogging)'!L23*9.81</f>
        <v>117203.98324682337</v>
      </c>
      <c r="AD25" s="216">
        <f>'SF and BM (Hogging)'!Y23*9.81</f>
        <v>113484.23289345473</v>
      </c>
      <c r="AG25" s="273">
        <v>0.91724832214765106</v>
      </c>
      <c r="AH25" s="205">
        <v>1</v>
      </c>
      <c r="AI25" s="205">
        <f t="shared" si="10"/>
        <v>-19124.772398289817</v>
      </c>
      <c r="AJ25" s="205">
        <f t="shared" si="11"/>
        <v>19124.772398289817</v>
      </c>
      <c r="AK25" s="248">
        <f>'SF and BM (Sagging)'!I23*9.81</f>
        <v>5917.1082695991681</v>
      </c>
      <c r="AL25" s="248">
        <f>'SF and BM (Sagging)'!V23*9.81</f>
        <v>5698.9279487642934</v>
      </c>
      <c r="AM25" s="248">
        <f>'SF and BM (Hogging)'!I23*9.81</f>
        <v>-5656.5886120421974</v>
      </c>
      <c r="AN25" s="249">
        <f>'SF and BM (Hogging)'!V23*9.81</f>
        <v>-5459.4918017407745</v>
      </c>
    </row>
    <row r="26" spans="4:42" ht="15" thickBot="1" x14ac:dyDescent="0.4">
      <c r="D26" s="268">
        <v>16</v>
      </c>
      <c r="E26" s="269">
        <f t="shared" si="0"/>
        <v>0.8</v>
      </c>
      <c r="F26" s="205">
        <f t="shared" si="1"/>
        <v>149.6</v>
      </c>
      <c r="G26" s="205">
        <f>$G$24+($G$28-$G$24)*((E26-$E$24)/($E$28-$E$24))</f>
        <v>0.57499999999999984</v>
      </c>
      <c r="H26" s="205">
        <v>1</v>
      </c>
      <c r="I26" s="205">
        <f t="shared" si="2"/>
        <v>-478818.32055515726</v>
      </c>
      <c r="J26" s="205">
        <f t="shared" si="3"/>
        <v>555990.50408785674</v>
      </c>
      <c r="K26" s="205">
        <f t="shared" si="4"/>
        <v>-22265.441551041964</v>
      </c>
      <c r="L26" s="205">
        <f t="shared" si="5"/>
        <v>25854.010885275835</v>
      </c>
      <c r="M26" s="205">
        <f ca="1">'SF and BM (Still Water)'!M23*9.81</f>
        <v>52304.173296612964</v>
      </c>
      <c r="N26" s="205">
        <f ca="1">'SF and BM (Still Water)'!J23*9.81</f>
        <v>-1046.330885240815</v>
      </c>
      <c r="O26" s="205">
        <f>'SF and BM (Still Water)'!AB23*9.81</f>
        <v>252762.71410719355</v>
      </c>
      <c r="P26" s="216">
        <f>'SF and BM (Still Water)'!Y23*9.81</f>
        <v>-18254.747213360064</v>
      </c>
      <c r="U26" s="270">
        <v>16</v>
      </c>
      <c r="V26" s="271">
        <f t="shared" si="6"/>
        <v>0.79999999999999993</v>
      </c>
      <c r="W26" s="248">
        <f t="shared" si="7"/>
        <v>149.6</v>
      </c>
      <c r="X26" s="205">
        <f t="shared" si="13"/>
        <v>0.5714285714285714</v>
      </c>
      <c r="Y26" s="205">
        <f t="shared" si="8"/>
        <v>-816929.04586564656</v>
      </c>
      <c r="Z26" s="205">
        <f t="shared" si="9"/>
        <v>11914.375972761009</v>
      </c>
      <c r="AA26" s="205">
        <f>'SF and BM (Sagging)'!L24*9.81</f>
        <v>-70935.980272885005</v>
      </c>
      <c r="AB26" s="205">
        <f>'SF and BM (Sagging)'!Y24*9.81</f>
        <v>-68960.941884459695</v>
      </c>
      <c r="AC26" s="205">
        <f>'SF and BM (Hogging)'!L24*9.81</f>
        <v>69657.391051629704</v>
      </c>
      <c r="AD26" s="216">
        <f>'SF and BM (Hogging)'!Y24*9.81</f>
        <v>67442.545415092405</v>
      </c>
      <c r="AG26" s="273">
        <v>0.91724832214765106</v>
      </c>
      <c r="AH26" s="205">
        <v>1</v>
      </c>
      <c r="AI26" s="205">
        <f t="shared" si="10"/>
        <v>-19124.772398289817</v>
      </c>
      <c r="AJ26" s="205">
        <f t="shared" si="11"/>
        <v>19124.772398289817</v>
      </c>
      <c r="AK26" s="248">
        <f>'SF and BM (Sagging)'!I24*9.81</f>
        <v>4925.4244901013672</v>
      </c>
      <c r="AL26" s="248">
        <f>'SF and BM (Sagging)'!V24*9.81</f>
        <v>4727.8979616199395</v>
      </c>
      <c r="AM26" s="248">
        <f>'SF and BM (Hogging)'!I24*9.81</f>
        <v>-4676.5766661438629</v>
      </c>
      <c r="AN26" s="249">
        <f>'SF and BM (Hogging)'!V24*9.81</f>
        <v>-4511.0541917513947</v>
      </c>
    </row>
    <row r="27" spans="4:42" ht="15" thickBot="1" x14ac:dyDescent="0.4">
      <c r="D27" s="268">
        <v>17</v>
      </c>
      <c r="E27" s="269">
        <f t="shared" si="0"/>
        <v>0.85</v>
      </c>
      <c r="F27" s="205">
        <f t="shared" si="1"/>
        <v>158.94999999999999</v>
      </c>
      <c r="G27" s="205">
        <f>$G$24+($G$28-$G$24)*((E27-$E$24)/($E$28-$E$24))</f>
        <v>0.36250000000000016</v>
      </c>
      <c r="H27" s="205">
        <v>1</v>
      </c>
      <c r="I27" s="205">
        <f t="shared" si="2"/>
        <v>-301863.72382825153</v>
      </c>
      <c r="J27" s="205">
        <f t="shared" si="3"/>
        <v>350515.75257712731</v>
      </c>
      <c r="K27" s="205">
        <f t="shared" si="4"/>
        <v>-22265.441551041964</v>
      </c>
      <c r="L27" s="205">
        <f t="shared" si="5"/>
        <v>25854.010885275835</v>
      </c>
      <c r="M27" s="205">
        <f ca="1">'SF and BM (Still Water)'!M24*9.81</f>
        <v>35941.359636586996</v>
      </c>
      <c r="N27" s="205">
        <f ca="1">'SF and BM (Still Water)'!J24*9.81</f>
        <v>-2073.696376983286</v>
      </c>
      <c r="O27" s="205">
        <f>'SF and BM (Still Water)'!AB24*9.81</f>
        <v>112194.75714585961</v>
      </c>
      <c r="P27" s="216">
        <f>'SF and BM (Still Water)'!Y24*9.81</f>
        <v>-11597.722953330571</v>
      </c>
      <c r="U27" s="270">
        <v>17</v>
      </c>
      <c r="V27" s="271">
        <f t="shared" si="6"/>
        <v>0.85</v>
      </c>
      <c r="W27" s="248">
        <f t="shared" si="7"/>
        <v>158.94999999999999</v>
      </c>
      <c r="X27" s="205">
        <f t="shared" si="13"/>
        <v>0.42857142857142855</v>
      </c>
      <c r="Y27" s="205">
        <f t="shared" si="8"/>
        <v>-612696.78439923492</v>
      </c>
      <c r="Z27" s="205">
        <f t="shared" si="9"/>
        <v>8935.7819795707564</v>
      </c>
      <c r="AA27" s="205">
        <f>'SF and BM (Sagging)'!L25*9.81</f>
        <v>-33241.213055312153</v>
      </c>
      <c r="AB27" s="205">
        <f>'SF and BM (Sagging)'!Y25*9.81</f>
        <v>-32500.645518683003</v>
      </c>
      <c r="AC27" s="205">
        <f>'SF and BM (Hogging)'!L25*9.81</f>
        <v>33430.32325880741</v>
      </c>
      <c r="AD27" s="216">
        <f>'SF and BM (Hogging)'!Y25*9.81</f>
        <v>32381.950430912646</v>
      </c>
      <c r="AG27" s="273">
        <v>0.91724832214765106</v>
      </c>
      <c r="AH27" s="205">
        <v>1</v>
      </c>
      <c r="AI27" s="205">
        <f t="shared" si="10"/>
        <v>-19124.772398289817</v>
      </c>
      <c r="AJ27" s="205">
        <f t="shared" si="11"/>
        <v>19124.772398289817</v>
      </c>
      <c r="AK27" s="248">
        <f>'SF and BM (Sagging)'!I25*9.81</f>
        <v>3424.1960021030127</v>
      </c>
      <c r="AL27" s="248">
        <f>'SF and BM (Sagging)'!V25*9.81</f>
        <v>3265.9140300215176</v>
      </c>
      <c r="AM27" s="248">
        <f>'SF and BM (Hogging)'!I25*9.81</f>
        <v>-3216.8327941636308</v>
      </c>
      <c r="AN27" s="249">
        <f>'SF and BM (Hogging)'!V25*9.81</f>
        <v>-3095.5023781974555</v>
      </c>
    </row>
    <row r="28" spans="4:42" ht="15" thickBot="1" x14ac:dyDescent="0.4">
      <c r="D28" s="268">
        <v>18</v>
      </c>
      <c r="E28" s="269">
        <f t="shared" si="0"/>
        <v>0.9</v>
      </c>
      <c r="F28" s="205">
        <f t="shared" si="1"/>
        <v>168.3</v>
      </c>
      <c r="G28" s="205">
        <v>0.15</v>
      </c>
      <c r="H28" s="205">
        <f>2/3</f>
        <v>0.66666666666666663</v>
      </c>
      <c r="I28" s="205">
        <f t="shared" si="2"/>
        <v>-124909.12710134541</v>
      </c>
      <c r="J28" s="205">
        <f t="shared" si="3"/>
        <v>145041.00106639744</v>
      </c>
      <c r="K28" s="205">
        <f t="shared" si="4"/>
        <v>-14843.627700694642</v>
      </c>
      <c r="L28" s="205">
        <f t="shared" si="5"/>
        <v>17236.007256850557</v>
      </c>
      <c r="M28" s="205">
        <f ca="1">'SF and BM (Still Water)'!M25*9.81</f>
        <v>15679.667529410763</v>
      </c>
      <c r="N28" s="205">
        <f ca="1">'SF and BM (Still Water)'!J25*9.81</f>
        <v>-1898.7842790390052</v>
      </c>
      <c r="O28" s="205">
        <f>'SF and BM (Still Water)'!AB25*9.81</f>
        <v>31342.741815447589</v>
      </c>
      <c r="P28" s="216">
        <f>'SF and BM (Still Water)'!Y25*9.81</f>
        <v>-5496.3794089660842</v>
      </c>
      <c r="U28" s="270">
        <v>18</v>
      </c>
      <c r="V28" s="271">
        <f t="shared" si="6"/>
        <v>0.89999999999999991</v>
      </c>
      <c r="W28" s="248">
        <f t="shared" si="7"/>
        <v>168.29999999999998</v>
      </c>
      <c r="X28" s="205">
        <f t="shared" si="13"/>
        <v>0.2857142857142857</v>
      </c>
      <c r="Y28" s="205">
        <f t="shared" si="8"/>
        <v>-408464.52293282328</v>
      </c>
      <c r="Z28" s="205">
        <f t="shared" si="9"/>
        <v>5957.1879863805043</v>
      </c>
      <c r="AA28" s="205">
        <f>'SF and BM (Sagging)'!L26*9.81</f>
        <v>-10239.005894355132</v>
      </c>
      <c r="AB28" s="205">
        <f>'SF and BM (Sagging)'!Y26*9.81</f>
        <v>-10277.018004974641</v>
      </c>
      <c r="AC28" s="205">
        <f>'SF and BM (Hogging)'!L26*9.81</f>
        <v>11210.688315549232</v>
      </c>
      <c r="AD28" s="216">
        <f>'SF and BM (Hogging)'!Y26*9.81</f>
        <v>10902.345659312365</v>
      </c>
      <c r="AG28" s="273">
        <f>AG27*2/3</f>
        <v>0.61149888143176734</v>
      </c>
      <c r="AH28" s="205">
        <f>2/3</f>
        <v>0.66666666666666663</v>
      </c>
      <c r="AI28" s="205">
        <f t="shared" si="10"/>
        <v>-12749.848265526543</v>
      </c>
      <c r="AJ28" s="205">
        <f t="shared" si="11"/>
        <v>12749.848265526543</v>
      </c>
      <c r="AK28" s="248">
        <f>'SF and BM (Sagging)'!I26*9.81</f>
        <v>1801.099448498129</v>
      </c>
      <c r="AL28" s="248">
        <f>'SF and BM (Sagging)'!V26*9.81</f>
        <v>1697.7168582226293</v>
      </c>
      <c r="AM28" s="248">
        <f>'SF and BM (Hogging)'!I26*9.81</f>
        <v>-1661.8671697213931</v>
      </c>
      <c r="AN28" s="249">
        <f>'SF and BM (Hogging)'!V26*9.81</f>
        <v>-1590.9369140055144</v>
      </c>
    </row>
    <row r="29" spans="4:42" ht="15" thickBot="1" x14ac:dyDescent="0.4">
      <c r="D29" s="268">
        <v>19</v>
      </c>
      <c r="E29" s="269">
        <f t="shared" si="0"/>
        <v>0.95</v>
      </c>
      <c r="F29" s="205">
        <f t="shared" si="1"/>
        <v>177.65</v>
      </c>
      <c r="G29" s="205">
        <f>G28/2</f>
        <v>7.4999999999999997E-2</v>
      </c>
      <c r="H29" s="205">
        <f>1*1/3</f>
        <v>0.33333333333333331</v>
      </c>
      <c r="I29" s="205">
        <f t="shared" si="2"/>
        <v>-62454.563550672705</v>
      </c>
      <c r="J29" s="205">
        <f t="shared" si="3"/>
        <v>72520.500533198719</v>
      </c>
      <c r="K29" s="205">
        <f t="shared" si="4"/>
        <v>-7421.813850347321</v>
      </c>
      <c r="L29" s="205">
        <f t="shared" si="5"/>
        <v>8618.0036284252783</v>
      </c>
      <c r="M29" s="205">
        <f ca="1">'SF and BM (Still Water)'!M26*9.81</f>
        <v>3358.2549280235621</v>
      </c>
      <c r="N29" s="205">
        <f ca="1">'SF and BM (Still Water)'!J26*9.81</f>
        <v>-393.70956694419743</v>
      </c>
      <c r="O29" s="205">
        <f>'SF and BM (Still Water)'!AB26*9.81</f>
        <v>2788.2979665755406</v>
      </c>
      <c r="P29" s="216">
        <f>'SF and BM (Still Water)'!Y26*9.81</f>
        <v>-426.17229318941116</v>
      </c>
      <c r="U29" s="270">
        <v>19</v>
      </c>
      <c r="V29" s="271">
        <f t="shared" si="6"/>
        <v>0.95000000000000007</v>
      </c>
      <c r="W29" s="248">
        <f t="shared" si="7"/>
        <v>177.65</v>
      </c>
      <c r="X29" s="205">
        <f t="shared" si="13"/>
        <v>0.14285714285714285</v>
      </c>
      <c r="Y29" s="205">
        <f t="shared" si="8"/>
        <v>-204232.26146641164</v>
      </c>
      <c r="Z29" s="205">
        <f t="shared" si="9"/>
        <v>2978.5939931902521</v>
      </c>
      <c r="AA29" s="205">
        <f>'SF and BM (Sagging)'!L27*9.81</f>
        <v>-866.26274275284584</v>
      </c>
      <c r="AB29" s="205">
        <f>'SF and BM (Sagging)'!Y27*9.81</f>
        <v>-1134.8097495489692</v>
      </c>
      <c r="AC29" s="205">
        <f>'SF and BM (Hogging)'!L27*9.81</f>
        <v>1763.8966716563316</v>
      </c>
      <c r="AD29" s="216">
        <f>'SF and BM (Hogging)'!Y27*9.81</f>
        <v>1767.6368236095404</v>
      </c>
      <c r="AG29" s="273">
        <f>AG27/3</f>
        <v>0.30574944071588367</v>
      </c>
      <c r="AH29" s="205">
        <f>1/3</f>
        <v>0.33333333333333331</v>
      </c>
      <c r="AI29" s="205">
        <f t="shared" si="10"/>
        <v>-6374.9241327632717</v>
      </c>
      <c r="AJ29" s="205">
        <f t="shared" si="11"/>
        <v>6374.9241327632717</v>
      </c>
      <c r="AK29" s="248">
        <f>'SF and BM (Sagging)'!I27*9.81</f>
        <v>527.27118451284059</v>
      </c>
      <c r="AL29" s="248">
        <f>'SF and BM (Sagging)'!V27*9.81</f>
        <v>482.84513919867828</v>
      </c>
      <c r="AM29" s="248">
        <f>'SF and BM (Hogging)'!I27*9.81</f>
        <v>-466.20662398690132</v>
      </c>
      <c r="AN29" s="249">
        <f>'SF and BM (Hogging)'!V27*9.81</f>
        <v>-439.79029332474119</v>
      </c>
    </row>
    <row r="30" spans="4:42" ht="15" thickBot="1" x14ac:dyDescent="0.4">
      <c r="D30" s="275">
        <v>20</v>
      </c>
      <c r="E30" s="276">
        <f t="shared" si="0"/>
        <v>1</v>
      </c>
      <c r="F30" s="226">
        <f t="shared" si="1"/>
        <v>187</v>
      </c>
      <c r="G30" s="226">
        <v>0</v>
      </c>
      <c r="H30" s="226">
        <v>0</v>
      </c>
      <c r="I30" s="226">
        <f t="shared" si="2"/>
        <v>0</v>
      </c>
      <c r="J30" s="226">
        <f t="shared" si="3"/>
        <v>0</v>
      </c>
      <c r="K30" s="226">
        <f t="shared" si="4"/>
        <v>0</v>
      </c>
      <c r="L30" s="226">
        <f t="shared" si="5"/>
        <v>0</v>
      </c>
      <c r="M30" s="205">
        <f ca="1">'SF and BM (Still Water)'!M27*9.81</f>
        <v>0</v>
      </c>
      <c r="N30" s="205">
        <f ca="1">'SF and BM (Still Water)'!J27*9.81</f>
        <v>0</v>
      </c>
      <c r="O30" s="205">
        <f>'SF and BM (Still Water)'!AB27*9.81</f>
        <v>0</v>
      </c>
      <c r="P30" s="216">
        <f>'SF and BM (Still Water)'!Y27*9.81</f>
        <v>0</v>
      </c>
      <c r="U30" s="277">
        <v>20</v>
      </c>
      <c r="V30" s="271">
        <f t="shared" si="6"/>
        <v>1</v>
      </c>
      <c r="W30" s="248">
        <f t="shared" si="7"/>
        <v>187</v>
      </c>
      <c r="X30" s="226">
        <v>0</v>
      </c>
      <c r="Y30" s="226">
        <f t="shared" si="8"/>
        <v>0</v>
      </c>
      <c r="Z30" s="226">
        <f t="shared" si="9"/>
        <v>0</v>
      </c>
      <c r="AA30" s="205">
        <f>'SF and BM (Sagging)'!L28*9.81</f>
        <v>0</v>
      </c>
      <c r="AB30" s="205">
        <f>'SF and BM (Sagging)'!Y28*9.81</f>
        <v>0</v>
      </c>
      <c r="AC30" s="205">
        <f>'SF and BM (Hogging)'!L28*9.81</f>
        <v>0</v>
      </c>
      <c r="AD30" s="216">
        <f>'SF and BM (Hogging)'!Y28*9.81</f>
        <v>0</v>
      </c>
      <c r="AG30" s="278">
        <v>0</v>
      </c>
      <c r="AH30" s="226">
        <v>0</v>
      </c>
      <c r="AI30" s="226">
        <f t="shared" si="10"/>
        <v>0</v>
      </c>
      <c r="AJ30" s="226">
        <f t="shared" si="11"/>
        <v>0</v>
      </c>
      <c r="AK30" s="248">
        <f>'SF and BM (Sagging)'!I28*9.81</f>
        <v>0</v>
      </c>
      <c r="AL30" s="248">
        <f>'SF and BM (Sagging)'!V28*9.81</f>
        <v>0</v>
      </c>
      <c r="AM30" s="248">
        <f>'SF and BM (Hogging)'!I28*9.81</f>
        <v>0</v>
      </c>
      <c r="AN30" s="249">
        <f>'SF and BM (Hogging)'!V28*9.81</f>
        <v>0</v>
      </c>
    </row>
    <row r="31" spans="4:42" x14ac:dyDescent="0.35">
      <c r="M31">
        <f ca="1">MAX(M10:M30)</f>
        <v>56943.721912993286</v>
      </c>
      <c r="N31">
        <f ca="1">SUM(N10:N30)</f>
        <v>5000.8637576345318</v>
      </c>
      <c r="O31">
        <f ca="1">MAX(O10:O30)</f>
        <v>345386.39377325878</v>
      </c>
      <c r="P31">
        <f ca="1">SUM(P10:P30)</f>
        <v>3136.6371701084081</v>
      </c>
      <c r="V31" s="9"/>
      <c r="W31" s="9"/>
      <c r="X31" s="9"/>
      <c r="Y31" s="9"/>
      <c r="Z31" s="9"/>
      <c r="AA31" s="390" t="s">
        <v>594</v>
      </c>
      <c r="AB31" s="390"/>
      <c r="AC31" s="390" t="s">
        <v>595</v>
      </c>
      <c r="AD31" s="390"/>
      <c r="AG31" s="9"/>
      <c r="AH31" s="9"/>
      <c r="AI31" s="9"/>
      <c r="AJ31" s="9"/>
      <c r="AK31" s="279">
        <f>SUM(AK10:AK30)</f>
        <v>1665.2308389266061</v>
      </c>
      <c r="AL31" s="279">
        <f>SUM(AL10:AL30)</f>
        <v>966.9634998688914</v>
      </c>
      <c r="AM31" s="279">
        <f>SUM(AM10:AM30)</f>
        <v>-2643.4069186873562</v>
      </c>
      <c r="AN31" s="279">
        <f>SUM(AN10:AN30)</f>
        <v>-2050.6617669888597</v>
      </c>
      <c r="AP31" s="9"/>
    </row>
    <row r="32" spans="4:42" x14ac:dyDescent="0.35">
      <c r="AK32" s="387" t="s">
        <v>594</v>
      </c>
      <c r="AL32" s="387"/>
      <c r="AM32" s="387" t="s">
        <v>595</v>
      </c>
      <c r="AN32" s="387"/>
    </row>
  </sheetData>
  <mergeCells count="9">
    <mergeCell ref="AK32:AL32"/>
    <mergeCell ref="AM32:AN32"/>
    <mergeCell ref="M8:N8"/>
    <mergeCell ref="O8:P8"/>
    <mergeCell ref="X8:AD8"/>
    <mergeCell ref="AE8:AF8"/>
    <mergeCell ref="AG8:AN8"/>
    <mergeCell ref="AA31:AB31"/>
    <mergeCell ref="AC31:AD3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7D9-3459-4508-9859-F793BC23AA9F}">
  <dimension ref="A3:R26"/>
  <sheetViews>
    <sheetView topLeftCell="I1" zoomScale="70" zoomScaleNormal="70" workbookViewId="0">
      <selection activeCell="Q22" sqref="Q22"/>
    </sheetView>
  </sheetViews>
  <sheetFormatPr defaultRowHeight="14.5" x14ac:dyDescent="0.35"/>
  <cols>
    <col min="2" max="2" width="18.1796875" bestFit="1" customWidth="1"/>
    <col min="3" max="3" width="18.26953125" bestFit="1" customWidth="1"/>
    <col min="4" max="4" width="18.1796875" bestFit="1" customWidth="1"/>
    <col min="5" max="5" width="18.26953125" bestFit="1" customWidth="1"/>
    <col min="6" max="6" width="18.1796875" bestFit="1" customWidth="1"/>
    <col min="7" max="7" width="18.26953125" bestFit="1" customWidth="1"/>
    <col min="8" max="8" width="22" bestFit="1" customWidth="1"/>
    <col min="9" max="9" width="11.81640625" bestFit="1" customWidth="1"/>
    <col min="10" max="10" width="12.54296875" bestFit="1" customWidth="1"/>
    <col min="11" max="11" width="12.453125" bestFit="1" customWidth="1"/>
    <col min="12" max="12" width="22.08984375" bestFit="1" customWidth="1"/>
    <col min="13" max="14" width="13.26953125" bestFit="1" customWidth="1"/>
    <col min="15" max="15" width="13" bestFit="1" customWidth="1"/>
    <col min="16" max="16" width="7.81640625" bestFit="1" customWidth="1"/>
    <col min="17" max="17" width="13.7265625" bestFit="1" customWidth="1"/>
  </cols>
  <sheetData>
    <row r="3" spans="1:18" x14ac:dyDescent="0.35">
      <c r="F3" s="391" t="s">
        <v>613</v>
      </c>
      <c r="G3" s="392"/>
      <c r="H3" s="391" t="s">
        <v>614</v>
      </c>
      <c r="I3" s="392"/>
      <c r="L3" s="282" t="s">
        <v>615</v>
      </c>
      <c r="M3" s="1">
        <f>'Secção Mestra'!B18/10000</f>
        <v>21.586078442948555</v>
      </c>
    </row>
    <row r="4" spans="1:18" x14ac:dyDescent="0.35">
      <c r="A4" s="285" t="s">
        <v>530</v>
      </c>
      <c r="B4" s="282" t="s">
        <v>622</v>
      </c>
      <c r="C4" s="282" t="s">
        <v>623</v>
      </c>
      <c r="D4" s="282" t="s">
        <v>624</v>
      </c>
      <c r="E4" s="282" t="s">
        <v>625</v>
      </c>
      <c r="F4" s="282" t="s">
        <v>616</v>
      </c>
      <c r="G4" s="282" t="s">
        <v>617</v>
      </c>
      <c r="H4" s="282" t="s">
        <v>616</v>
      </c>
      <c r="I4" s="282" t="s">
        <v>617</v>
      </c>
      <c r="L4" s="282" t="s">
        <v>618</v>
      </c>
      <c r="M4" s="1">
        <f>'Secção Mestra'!A18/10000</f>
        <v>12.811192523213922</v>
      </c>
    </row>
    <row r="5" spans="1:18" x14ac:dyDescent="0.35">
      <c r="A5" s="283">
        <v>0</v>
      </c>
      <c r="B5" s="1">
        <f>'Classification Society'!J10</f>
        <v>0</v>
      </c>
      <c r="C5" s="1">
        <f>'Classification Society'!I10</f>
        <v>0</v>
      </c>
      <c r="D5" s="1">
        <f ca="1">'Classification Society'!M10</f>
        <v>0</v>
      </c>
      <c r="E5" s="1">
        <f ca="1">'Classification Society'!O10</f>
        <v>0</v>
      </c>
      <c r="F5" s="1">
        <f ca="1">B5+D5</f>
        <v>0</v>
      </c>
      <c r="G5" s="1">
        <f ca="1">C5+D5</f>
        <v>0</v>
      </c>
      <c r="H5" s="1">
        <f ca="1">B5+E5</f>
        <v>0</v>
      </c>
      <c r="I5" s="1">
        <f ca="1">C5+E5</f>
        <v>0</v>
      </c>
    </row>
    <row r="6" spans="1:18" x14ac:dyDescent="0.35">
      <c r="A6" s="283">
        <v>1</v>
      </c>
      <c r="B6" s="1">
        <f>'Classification Society'!J11</f>
        <v>72520.500533198719</v>
      </c>
      <c r="C6" s="1">
        <f>'Classification Society'!I11</f>
        <v>-62454.563550672705</v>
      </c>
      <c r="D6" s="1">
        <f ca="1">'Classification Society'!M11</f>
        <v>1948.7876740119</v>
      </c>
      <c r="E6" s="1">
        <f>'Classification Society'!O11</f>
        <v>6317.8431974019995</v>
      </c>
      <c r="F6" s="1">
        <f t="shared" ref="F6:F25" ca="1" si="0">B6+D6</f>
        <v>74469.288207210615</v>
      </c>
      <c r="G6" s="1">
        <f t="shared" ref="G6:G25" ca="1" si="1">C6+D6</f>
        <v>-60505.775876660802</v>
      </c>
      <c r="H6" s="1">
        <f t="shared" ref="H6:H25" si="2">B6+E6</f>
        <v>78838.343730600725</v>
      </c>
      <c r="I6" s="1">
        <f t="shared" ref="I6:I25" si="3">C6+E6</f>
        <v>-56136.720353270706</v>
      </c>
    </row>
    <row r="7" spans="1:18" x14ac:dyDescent="0.35">
      <c r="A7" s="283">
        <v>2</v>
      </c>
      <c r="B7" s="1">
        <f>'Classification Society'!J12</f>
        <v>145041.00106639744</v>
      </c>
      <c r="C7" s="1">
        <f>'Classification Society'!I12</f>
        <v>-124909.12710134541</v>
      </c>
      <c r="D7" s="1">
        <f ca="1">'Classification Society'!M12</f>
        <v>5216.4385946262501</v>
      </c>
      <c r="E7" s="1">
        <f>'Classification Society'!O12</f>
        <v>23657.588713398924</v>
      </c>
      <c r="F7" s="1">
        <f t="shared" ca="1" si="0"/>
        <v>150257.4396610237</v>
      </c>
      <c r="G7" s="1">
        <f t="shared" ca="1" si="1"/>
        <v>-119692.68850671916</v>
      </c>
      <c r="H7" s="1">
        <f t="shared" si="2"/>
        <v>168698.58977979637</v>
      </c>
      <c r="I7" s="1">
        <f t="shared" si="3"/>
        <v>-101251.53838794649</v>
      </c>
      <c r="L7" s="393" t="s">
        <v>477</v>
      </c>
      <c r="M7" s="393"/>
      <c r="N7" s="393"/>
      <c r="O7" s="393"/>
    </row>
    <row r="8" spans="1:18" x14ac:dyDescent="0.35">
      <c r="A8" s="283">
        <v>3</v>
      </c>
      <c r="B8" s="1">
        <f>'Classification Society'!J13</f>
        <v>350515.75257712707</v>
      </c>
      <c r="C8" s="1">
        <f>'Classification Society'!I13</f>
        <v>-301863.72382825136</v>
      </c>
      <c r="D8" s="1">
        <f ca="1">'Classification Society'!M13</f>
        <v>-12408.013454506347</v>
      </c>
      <c r="E8" s="1">
        <f>'Classification Society'!O13</f>
        <v>35159.604380451558</v>
      </c>
      <c r="F8" s="1">
        <f t="shared" ca="1" si="0"/>
        <v>338107.73912262073</v>
      </c>
      <c r="G8" s="1">
        <f t="shared" ca="1" si="1"/>
        <v>-314271.73728275771</v>
      </c>
      <c r="H8" s="1">
        <f t="shared" si="2"/>
        <v>385675.35695757862</v>
      </c>
      <c r="I8" s="1">
        <f t="shared" si="3"/>
        <v>-266704.11944779981</v>
      </c>
      <c r="L8" s="393" t="s">
        <v>600</v>
      </c>
      <c r="M8" s="393"/>
      <c r="N8" s="393" t="s">
        <v>595</v>
      </c>
      <c r="O8" s="393"/>
      <c r="P8" s="391" t="s">
        <v>653</v>
      </c>
      <c r="Q8" s="402"/>
      <c r="R8" s="392"/>
    </row>
    <row r="9" spans="1:18" x14ac:dyDescent="0.35">
      <c r="A9" s="283">
        <v>4</v>
      </c>
      <c r="B9" s="1">
        <f>'Classification Society'!J14</f>
        <v>555990.50408785697</v>
      </c>
      <c r="C9" s="1">
        <f>'Classification Society'!I14</f>
        <v>-478818.32055515749</v>
      </c>
      <c r="D9" s="1">
        <f ca="1">'Classification Society'!M14</f>
        <v>-89875.427742950895</v>
      </c>
      <c r="E9" s="1">
        <f>'Classification Society'!O14</f>
        <v>5662.5142131368229</v>
      </c>
      <c r="F9" s="1">
        <f t="shared" ca="1" si="0"/>
        <v>466115.07634490606</v>
      </c>
      <c r="G9" s="1">
        <f t="shared" ca="1" si="1"/>
        <v>-568693.74829810834</v>
      </c>
      <c r="H9" s="1">
        <f t="shared" si="2"/>
        <v>561653.01830099383</v>
      </c>
      <c r="I9" s="1">
        <f t="shared" si="3"/>
        <v>-473155.80634202069</v>
      </c>
      <c r="L9" s="113" t="s">
        <v>696</v>
      </c>
      <c r="M9" s="1" t="s">
        <v>697</v>
      </c>
      <c r="N9" s="113" t="s">
        <v>696</v>
      </c>
      <c r="O9" s="1" t="s">
        <v>697</v>
      </c>
      <c r="P9" s="283"/>
      <c r="Q9" s="283" t="s">
        <v>707</v>
      </c>
      <c r="R9" s="283" t="s">
        <v>641</v>
      </c>
    </row>
    <row r="10" spans="1:18" x14ac:dyDescent="0.35">
      <c r="A10" s="283">
        <v>5</v>
      </c>
      <c r="B10" s="1">
        <f>'Classification Society'!J15</f>
        <v>761465.25559858652</v>
      </c>
      <c r="C10" s="1">
        <f>'Classification Society'!I15</f>
        <v>-655772.9172820634</v>
      </c>
      <c r="D10" s="1">
        <f ca="1">'Classification Society'!M15</f>
        <v>-178414.66109858704</v>
      </c>
      <c r="E10" s="1">
        <f>'Classification Society'!O15</f>
        <v>2453.5408202297149</v>
      </c>
      <c r="F10" s="1">
        <f t="shared" ca="1" si="0"/>
        <v>583050.59449999942</v>
      </c>
      <c r="G10" s="1">
        <f t="shared" ca="1" si="1"/>
        <v>-834187.57838065038</v>
      </c>
      <c r="H10" s="1">
        <f t="shared" si="2"/>
        <v>763918.7964188162</v>
      </c>
      <c r="I10" s="1">
        <f t="shared" si="3"/>
        <v>-653319.37646183372</v>
      </c>
      <c r="L10" s="1">
        <f ca="1">F26/M4/1000</f>
        <v>79.134262434570289</v>
      </c>
      <c r="M10" s="1">
        <f ca="1">-F26/M3/1000</f>
        <v>-46.965653067150363</v>
      </c>
      <c r="N10" s="1">
        <f ca="1">G26/M4/1000</f>
        <v>-81.607781690168366</v>
      </c>
      <c r="O10" s="1">
        <f ca="1">-G26/M3/1000</f>
        <v>48.433670126251506</v>
      </c>
      <c r="P10" s="283" t="s">
        <v>642</v>
      </c>
      <c r="Q10" s="9">
        <f ca="1">D26/M4/1000</f>
        <v>4.4448416343608192</v>
      </c>
      <c r="R10" s="307">
        <v>119</v>
      </c>
    </row>
    <row r="11" spans="1:18" ht="15" thickBot="1" x14ac:dyDescent="0.4">
      <c r="A11" s="283">
        <v>6</v>
      </c>
      <c r="B11" s="1">
        <f>'Classification Society'!J16</f>
        <v>966940.0071093163</v>
      </c>
      <c r="C11" s="1">
        <f>'Classification Society'!I16</f>
        <v>-832727.51400896942</v>
      </c>
      <c r="D11" s="1">
        <f ca="1">'Classification Society'!M16</f>
        <v>-212765.48861618954</v>
      </c>
      <c r="E11" s="1">
        <f>'Classification Society'!O16</f>
        <v>109566.02337250025</v>
      </c>
      <c r="F11" s="1">
        <f t="shared" ca="1" si="0"/>
        <v>754174.51849312673</v>
      </c>
      <c r="G11" s="1">
        <f t="shared" ca="1" si="1"/>
        <v>-1045493.002625159</v>
      </c>
      <c r="H11" s="1">
        <f t="shared" si="2"/>
        <v>1076506.0304818165</v>
      </c>
      <c r="I11" s="1">
        <f t="shared" si="3"/>
        <v>-723161.49063646921</v>
      </c>
      <c r="L11" s="1">
        <f>Prelude!E2</f>
        <v>13.7</v>
      </c>
      <c r="M11" s="1">
        <v>0</v>
      </c>
      <c r="N11" s="1">
        <f>Prelude!E2</f>
        <v>13.7</v>
      </c>
      <c r="O11" s="1">
        <v>0</v>
      </c>
      <c r="P11" s="283" t="s">
        <v>644</v>
      </c>
      <c r="Q11" s="309">
        <f ca="1">-D26/M3/1000</f>
        <v>-2.6379836459639514</v>
      </c>
      <c r="R11" s="310">
        <v>-119</v>
      </c>
    </row>
    <row r="12" spans="1:18" x14ac:dyDescent="0.35">
      <c r="A12" s="283">
        <v>7</v>
      </c>
      <c r="B12" s="1">
        <f>'Classification Society'!J17</f>
        <v>966940.0071093163</v>
      </c>
      <c r="C12" s="1">
        <f>'Classification Society'!I17</f>
        <v>-832727.51400896942</v>
      </c>
      <c r="D12" s="1">
        <f ca="1">'Classification Society'!M17</f>
        <v>-202014.02717051248</v>
      </c>
      <c r="E12" s="1">
        <f>'Classification Society'!O17</f>
        <v>204368.23941926725</v>
      </c>
      <c r="F12" s="1">
        <f t="shared" ca="1" si="0"/>
        <v>764925.97993880382</v>
      </c>
      <c r="G12" s="1">
        <f t="shared" ca="1" si="1"/>
        <v>-1034741.5411794819</v>
      </c>
      <c r="H12" s="1">
        <f t="shared" si="2"/>
        <v>1171308.2465285836</v>
      </c>
      <c r="I12" s="1">
        <f t="shared" si="3"/>
        <v>-628359.27458970214</v>
      </c>
      <c r="L12">
        <v>-138</v>
      </c>
      <c r="M12">
        <v>-138</v>
      </c>
      <c r="N12">
        <v>138</v>
      </c>
      <c r="O12">
        <v>138</v>
      </c>
    </row>
    <row r="13" spans="1:18" x14ac:dyDescent="0.35">
      <c r="A13" s="283">
        <v>8</v>
      </c>
      <c r="B13" s="1">
        <f>'Classification Society'!J18</f>
        <v>966940.0071093163</v>
      </c>
      <c r="C13" s="1">
        <f>'Classification Society'!I18</f>
        <v>-832727.51400896942</v>
      </c>
      <c r="D13" s="1">
        <f ca="1">'Classification Society'!M18</f>
        <v>-166271.73817487704</v>
      </c>
      <c r="E13" s="1">
        <f>'Classification Society'!O18</f>
        <v>172837.15819365712</v>
      </c>
      <c r="F13" s="1">
        <f t="shared" ca="1" si="0"/>
        <v>800668.26893443929</v>
      </c>
      <c r="G13" s="1">
        <f t="shared" ca="1" si="1"/>
        <v>-998999.25218384643</v>
      </c>
      <c r="H13" s="1">
        <f t="shared" si="2"/>
        <v>1139777.1653029735</v>
      </c>
      <c r="I13" s="1">
        <f t="shared" si="3"/>
        <v>-659890.35581531236</v>
      </c>
      <c r="L13">
        <v>0</v>
      </c>
      <c r="M13">
        <v>0</v>
      </c>
      <c r="N13">
        <v>0</v>
      </c>
      <c r="O13">
        <v>0</v>
      </c>
    </row>
    <row r="14" spans="1:18" x14ac:dyDescent="0.35">
      <c r="A14" s="283">
        <v>9</v>
      </c>
      <c r="B14" s="1">
        <f>'Classification Society'!J19</f>
        <v>966940.0071093163</v>
      </c>
      <c r="C14" s="1">
        <f>'Classification Society'!I19</f>
        <v>-832727.51400896942</v>
      </c>
      <c r="D14" s="1">
        <f ca="1">'Classification Society'!M19</f>
        <v>-126195.88167519603</v>
      </c>
      <c r="E14" s="1">
        <f>'Classification Society'!O19</f>
        <v>137054.17734761559</v>
      </c>
      <c r="F14" s="1">
        <f t="shared" ca="1" si="0"/>
        <v>840744.1254341203</v>
      </c>
      <c r="G14" s="1">
        <f t="shared" ca="1" si="1"/>
        <v>-958923.39568416541</v>
      </c>
      <c r="H14" s="1">
        <f t="shared" si="2"/>
        <v>1103994.1844569319</v>
      </c>
      <c r="I14" s="1">
        <f t="shared" si="3"/>
        <v>-695673.33666135382</v>
      </c>
    </row>
    <row r="15" spans="1:18" x14ac:dyDescent="0.35">
      <c r="A15" s="283">
        <v>10</v>
      </c>
      <c r="B15" s="1">
        <f>'Classification Society'!J20</f>
        <v>966940.0071093163</v>
      </c>
      <c r="C15" s="1">
        <f>'Classification Society'!I20</f>
        <v>-832727.51400896942</v>
      </c>
      <c r="D15" s="1">
        <f ca="1">'Classification Society'!M20</f>
        <v>-85601.590906940401</v>
      </c>
      <c r="E15" s="1">
        <f>'Classification Society'!O20</f>
        <v>218071.78492609912</v>
      </c>
      <c r="F15" s="1">
        <f t="shared" ca="1" si="0"/>
        <v>881338.4162023759</v>
      </c>
      <c r="G15" s="1">
        <f t="shared" ca="1" si="1"/>
        <v>-918329.10491590982</v>
      </c>
      <c r="H15" s="1">
        <f t="shared" si="2"/>
        <v>1185011.7920354153</v>
      </c>
      <c r="I15" s="1">
        <f t="shared" si="3"/>
        <v>-614655.7290828703</v>
      </c>
      <c r="L15" s="391" t="s">
        <v>529</v>
      </c>
      <c r="M15" s="402"/>
      <c r="N15" s="402"/>
      <c r="O15" s="392"/>
    </row>
    <row r="16" spans="1:18" x14ac:dyDescent="0.35">
      <c r="A16" s="283">
        <v>11</v>
      </c>
      <c r="B16" s="1">
        <f>'Classification Society'!J21</f>
        <v>966940.0071093163</v>
      </c>
      <c r="C16" s="1">
        <f>'Classification Society'!I21</f>
        <v>-832727.51400896942</v>
      </c>
      <c r="D16" s="1">
        <f ca="1">'Classification Society'!M21</f>
        <v>-44108.817115122241</v>
      </c>
      <c r="E16" s="1">
        <f>'Classification Society'!O21</f>
        <v>297811.92077662144</v>
      </c>
      <c r="F16" s="1">
        <f t="shared" ca="1" si="0"/>
        <v>922831.18999419408</v>
      </c>
      <c r="G16" s="1">
        <f t="shared" ca="1" si="1"/>
        <v>-876836.33112409164</v>
      </c>
      <c r="H16" s="1">
        <f t="shared" si="2"/>
        <v>1264751.9278859377</v>
      </c>
      <c r="I16" s="1">
        <f t="shared" si="3"/>
        <v>-534915.59323234798</v>
      </c>
      <c r="L16" s="283" t="s">
        <v>600</v>
      </c>
      <c r="M16" s="283"/>
      <c r="N16" s="283" t="s">
        <v>595</v>
      </c>
      <c r="O16" s="283"/>
      <c r="P16" s="403" t="s">
        <v>653</v>
      </c>
      <c r="Q16" s="404"/>
      <c r="R16" s="405"/>
    </row>
    <row r="17" spans="1:18" x14ac:dyDescent="0.35">
      <c r="A17" s="283">
        <v>12</v>
      </c>
      <c r="B17" s="1">
        <f>'Classification Society'!J22</f>
        <v>966940.0071093163</v>
      </c>
      <c r="C17" s="1">
        <f>'Classification Society'!I22</f>
        <v>-832727.51400896942</v>
      </c>
      <c r="D17" s="1">
        <f ca="1">'Classification Society'!M22</f>
        <v>-4946.5966022210259</v>
      </c>
      <c r="E17" s="1">
        <f>'Classification Society'!O22</f>
        <v>258166.8941557683</v>
      </c>
      <c r="F17" s="1">
        <f t="shared" ca="1" si="0"/>
        <v>961993.41050709528</v>
      </c>
      <c r="G17" s="1">
        <f t="shared" ca="1" si="1"/>
        <v>-837674.11061119044</v>
      </c>
      <c r="H17" s="1">
        <f t="shared" si="2"/>
        <v>1225106.9012650845</v>
      </c>
      <c r="I17" s="1">
        <f t="shared" si="3"/>
        <v>-574560.61985320109</v>
      </c>
      <c r="L17" s="113" t="s">
        <v>696</v>
      </c>
      <c r="M17" s="1" t="s">
        <v>697</v>
      </c>
      <c r="N17" s="113" t="s">
        <v>696</v>
      </c>
      <c r="O17" s="1" t="s">
        <v>697</v>
      </c>
      <c r="P17" s="283"/>
      <c r="Q17" s="283" t="s">
        <v>707</v>
      </c>
      <c r="R17" s="283" t="s">
        <v>641</v>
      </c>
    </row>
    <row r="18" spans="1:18" x14ac:dyDescent="0.35">
      <c r="A18" s="283">
        <v>13</v>
      </c>
      <c r="B18" s="1">
        <f>'Classification Society'!J23</f>
        <v>966940.0071093163</v>
      </c>
      <c r="C18" s="1">
        <f>'Classification Society'!I23</f>
        <v>-832727.51400896942</v>
      </c>
      <c r="D18" s="1">
        <f ca="1">'Classification Society'!M23</f>
        <v>25121.272017997038</v>
      </c>
      <c r="E18" s="1">
        <f>'Classification Society'!O23</f>
        <v>217481.24600062479</v>
      </c>
      <c r="F18" s="1">
        <f t="shared" ca="1" si="0"/>
        <v>992061.27912731329</v>
      </c>
      <c r="G18" s="1">
        <f t="shared" ca="1" si="1"/>
        <v>-807606.24199097243</v>
      </c>
      <c r="H18" s="1">
        <f t="shared" si="2"/>
        <v>1184421.253109941</v>
      </c>
      <c r="I18" s="1">
        <f t="shared" si="3"/>
        <v>-615246.26800834457</v>
      </c>
      <c r="L18" s="1">
        <f ca="1">H26/M4/1000</f>
        <v>98.722419914789597</v>
      </c>
      <c r="M18" s="1">
        <f ca="1">-H26/M3/1000</f>
        <v>-58.591092922628086</v>
      </c>
      <c r="N18" s="1">
        <f ca="1">I26/M4/1000</f>
        <v>-56.447632749730225</v>
      </c>
      <c r="O18" s="1">
        <f ca="1">-I26/M3/1000</f>
        <v>33.501290776264256</v>
      </c>
      <c r="P18" s="283" t="s">
        <v>642</v>
      </c>
      <c r="Q18" s="9">
        <f ca="1">E26/M4/1000</f>
        <v>26.959737990621676</v>
      </c>
      <c r="R18" s="307">
        <v>119</v>
      </c>
    </row>
    <row r="19" spans="1:18" ht="15" thickBot="1" x14ac:dyDescent="0.4">
      <c r="A19" s="283">
        <v>14</v>
      </c>
      <c r="B19" s="1">
        <f>'Classification Society'!J24</f>
        <v>966940.0071093163</v>
      </c>
      <c r="C19" s="1">
        <f>'Classification Society'!I24</f>
        <v>-832727.51400896942</v>
      </c>
      <c r="D19" s="1">
        <f ca="1">'Classification Society'!M24</f>
        <v>46864.264122498927</v>
      </c>
      <c r="E19" s="1">
        <f>'Classification Society'!O24</f>
        <v>289301.46205760492</v>
      </c>
      <c r="F19" s="1">
        <f t="shared" ca="1" si="0"/>
        <v>1013804.2712318152</v>
      </c>
      <c r="G19" s="1">
        <f t="shared" ca="1" si="1"/>
        <v>-785863.2498864705</v>
      </c>
      <c r="H19" s="1">
        <f t="shared" si="2"/>
        <v>1256241.4691669212</v>
      </c>
      <c r="I19" s="1">
        <f t="shared" si="3"/>
        <v>-543426.0519513645</v>
      </c>
      <c r="L19" s="1">
        <f>Prelude!E2</f>
        <v>13.7</v>
      </c>
      <c r="M19" s="1">
        <v>0</v>
      </c>
      <c r="N19" s="1">
        <f>Prelude!E2</f>
        <v>13.7</v>
      </c>
      <c r="O19" s="1">
        <v>0</v>
      </c>
      <c r="P19" s="283" t="s">
        <v>644</v>
      </c>
      <c r="Q19" s="309">
        <f ca="1">-E26/M3/1000</f>
        <v>-16.000423360181241</v>
      </c>
      <c r="R19" s="310">
        <v>-119</v>
      </c>
    </row>
    <row r="20" spans="1:18" x14ac:dyDescent="0.35">
      <c r="A20" s="283">
        <v>15</v>
      </c>
      <c r="B20" s="1">
        <f>'Classification Society'!J25</f>
        <v>761465.2555985864</v>
      </c>
      <c r="C20" s="1">
        <f>'Classification Society'!I25</f>
        <v>-655772.91728206328</v>
      </c>
      <c r="D20" s="1">
        <f ca="1">'Classification Society'!M25</f>
        <v>56943.721912993286</v>
      </c>
      <c r="E20" s="1">
        <f>'Classification Society'!O25</f>
        <v>345386.39377325878</v>
      </c>
      <c r="F20" s="1">
        <f t="shared" ca="1" si="0"/>
        <v>818408.97751157964</v>
      </c>
      <c r="G20" s="1">
        <f t="shared" ca="1" si="1"/>
        <v>-598829.19536907005</v>
      </c>
      <c r="H20" s="1">
        <f t="shared" si="2"/>
        <v>1106851.6493718452</v>
      </c>
      <c r="I20" s="1">
        <f t="shared" si="3"/>
        <v>-310386.5235088045</v>
      </c>
    </row>
    <row r="21" spans="1:18" x14ac:dyDescent="0.35">
      <c r="A21" s="283">
        <v>16</v>
      </c>
      <c r="B21" s="1">
        <f>'Classification Society'!J26</f>
        <v>555990.50408785674</v>
      </c>
      <c r="C21" s="1">
        <f>'Classification Society'!I26</f>
        <v>-478818.32055515726</v>
      </c>
      <c r="D21" s="1">
        <f ca="1">'Classification Society'!M26</f>
        <v>52304.173296612964</v>
      </c>
      <c r="E21" s="1">
        <f>'Classification Society'!O26</f>
        <v>252762.71410719355</v>
      </c>
      <c r="F21" s="1">
        <f t="shared" ca="1" si="0"/>
        <v>608294.67738446966</v>
      </c>
      <c r="G21" s="1">
        <f t="shared" ca="1" si="1"/>
        <v>-426514.14725854428</v>
      </c>
      <c r="H21" s="1">
        <f t="shared" si="2"/>
        <v>808753.21819505026</v>
      </c>
      <c r="I21" s="1">
        <f t="shared" si="3"/>
        <v>-226055.60644796371</v>
      </c>
    </row>
    <row r="22" spans="1:18" x14ac:dyDescent="0.35">
      <c r="A22" s="283">
        <v>17</v>
      </c>
      <c r="B22" s="1">
        <f>'Classification Society'!J27</f>
        <v>350515.75257712731</v>
      </c>
      <c r="C22" s="1">
        <f>'Classification Society'!I27</f>
        <v>-301863.72382825153</v>
      </c>
      <c r="D22" s="1">
        <f ca="1">'Classification Society'!M27</f>
        <v>35941.359636586996</v>
      </c>
      <c r="E22" s="1">
        <f>'Classification Society'!O27</f>
        <v>112194.75714585961</v>
      </c>
      <c r="F22" s="1">
        <f t="shared" ca="1" si="0"/>
        <v>386457.11221371428</v>
      </c>
      <c r="G22" s="1">
        <f t="shared" ca="1" si="1"/>
        <v>-265922.36419166456</v>
      </c>
      <c r="H22" s="1">
        <f t="shared" si="2"/>
        <v>462710.5097229869</v>
      </c>
      <c r="I22" s="1">
        <f t="shared" si="3"/>
        <v>-189668.96668239194</v>
      </c>
      <c r="L22" s="282" t="s">
        <v>699</v>
      </c>
      <c r="M22" s="1">
        <v>230</v>
      </c>
    </row>
    <row r="23" spans="1:18" x14ac:dyDescent="0.35">
      <c r="A23" s="283">
        <v>18</v>
      </c>
      <c r="B23" s="1">
        <f>'Classification Society'!J28</f>
        <v>145041.00106639744</v>
      </c>
      <c r="C23" s="1">
        <f>'Classification Society'!I28</f>
        <v>-124909.12710134541</v>
      </c>
      <c r="D23" s="1">
        <f ca="1">'Classification Society'!M28</f>
        <v>15679.667529410763</v>
      </c>
      <c r="E23" s="1">
        <f>'Classification Society'!O28</f>
        <v>31342.741815447589</v>
      </c>
      <c r="F23" s="1">
        <f t="shared" ca="1" si="0"/>
        <v>160720.66859580821</v>
      </c>
      <c r="G23" s="1">
        <f t="shared" ca="1" si="1"/>
        <v>-109229.45957193465</v>
      </c>
      <c r="H23" s="1">
        <f t="shared" si="2"/>
        <v>176383.74288184504</v>
      </c>
      <c r="I23" s="1">
        <f t="shared" si="3"/>
        <v>-93566.385285897821</v>
      </c>
      <c r="L23" s="282" t="s">
        <v>698</v>
      </c>
      <c r="M23" s="1">
        <f>0.6*M22</f>
        <v>138</v>
      </c>
    </row>
    <row r="24" spans="1:18" x14ac:dyDescent="0.35">
      <c r="A24" s="283">
        <v>19</v>
      </c>
      <c r="B24" s="1">
        <f>'Classification Society'!J29</f>
        <v>72520.500533198719</v>
      </c>
      <c r="C24" s="1">
        <f>'Classification Society'!I29</f>
        <v>-62454.563550672705</v>
      </c>
      <c r="D24" s="1">
        <f ca="1">'Classification Society'!M29</f>
        <v>3358.2549280235621</v>
      </c>
      <c r="E24" s="1">
        <f>'Classification Society'!O29</f>
        <v>2788.2979665755406</v>
      </c>
      <c r="F24" s="1">
        <f t="shared" ca="1" si="0"/>
        <v>75878.755461222288</v>
      </c>
      <c r="G24" s="1">
        <f t="shared" ca="1" si="1"/>
        <v>-59096.308622649143</v>
      </c>
      <c r="H24" s="1">
        <f t="shared" si="2"/>
        <v>75308.798499774261</v>
      </c>
      <c r="I24" s="1">
        <f t="shared" si="3"/>
        <v>-59666.265584097164</v>
      </c>
    </row>
    <row r="25" spans="1:18" x14ac:dyDescent="0.35">
      <c r="A25" s="283">
        <v>20</v>
      </c>
      <c r="B25" s="1">
        <f>'Classification Society'!J30</f>
        <v>0</v>
      </c>
      <c r="C25" s="1">
        <f>'Classification Society'!I30</f>
        <v>0</v>
      </c>
      <c r="D25" s="1">
        <f ca="1">'Classification Society'!M30</f>
        <v>0</v>
      </c>
      <c r="E25" s="1">
        <f>'Classification Society'!O30</f>
        <v>0</v>
      </c>
      <c r="F25" s="1">
        <f t="shared" ca="1" si="0"/>
        <v>0</v>
      </c>
      <c r="G25" s="1">
        <f t="shared" ca="1" si="1"/>
        <v>0</v>
      </c>
      <c r="H25" s="1">
        <f t="shared" si="2"/>
        <v>0</v>
      </c>
      <c r="I25" s="1">
        <f t="shared" si="3"/>
        <v>0</v>
      </c>
      <c r="L25" s="282" t="s">
        <v>619</v>
      </c>
      <c r="M25" s="22">
        <f>'Secção Mestra'!C18</f>
        <v>5.102536702422932</v>
      </c>
    </row>
    <row r="26" spans="1:18" x14ac:dyDescent="0.35">
      <c r="A26" s="283" t="s">
        <v>620</v>
      </c>
      <c r="D26">
        <f ca="1">MAX(D5:D25)</f>
        <v>56943.721912993286</v>
      </c>
      <c r="E26">
        <f ca="1">MAX(E5:E25)</f>
        <v>345386.39377325878</v>
      </c>
      <c r="F26" s="1">
        <f ca="1">IF(LARGE(F5:F25,1)&gt;ABS(SMALL(F5:F25,1)),LARGE(F5:F25,1),IF(LARGE(F5:F25,1)&lt;ABS(SMALL(F5:F25,1)),SMALL(F5:F25,1),0))</f>
        <v>1013804.2712318152</v>
      </c>
      <c r="G26" s="1">
        <f ca="1">IF(LARGE(G5:G25,1)&gt;ABS(SMALL(G5:G25,1)),LARGE(G5:G25,1),IF(LARGE(G5:G25,1)&lt;ABS(SMALL(G5:G25,1)),SMALL(G5:G25,1),0))</f>
        <v>-1045493.002625159</v>
      </c>
      <c r="H26" s="1">
        <f ca="1">IF(LARGE(H5:H25,1)&gt;ABS(SMALL(H5:H25,1)),LARGE(H5:H25,1),IF(LARGE(H5:H25,1)&lt;ABS(SMALL(H5:H25,1)),SMALL(H5:H25,1),0))</f>
        <v>1264751.9278859377</v>
      </c>
      <c r="I26" s="1">
        <f ca="1">IF(LARGE(I5:I25,1)&gt;ABS(SMALL(I5:I25,1)),LARGE(I5:I25,1),IF(LARGE(I5:I25,1)&lt;ABS(SMALL(I5:I25,1)),SMALL(I5:I25,1),0))</f>
        <v>-723161.49063646921</v>
      </c>
    </row>
  </sheetData>
  <mergeCells count="8">
    <mergeCell ref="P16:R16"/>
    <mergeCell ref="P8:R8"/>
    <mergeCell ref="H3:I3"/>
    <mergeCell ref="F3:G3"/>
    <mergeCell ref="L15:O15"/>
    <mergeCell ref="L7:O7"/>
    <mergeCell ref="L8:M8"/>
    <mergeCell ref="N8:O8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8051-EA25-4FB8-9A88-B966086A9E66}">
  <dimension ref="A2:J63"/>
  <sheetViews>
    <sheetView zoomScale="70" zoomScaleNormal="70" workbookViewId="0">
      <selection activeCell="I28" sqref="I28"/>
    </sheetView>
  </sheetViews>
  <sheetFormatPr defaultRowHeight="14.5" x14ac:dyDescent="0.35"/>
  <cols>
    <col min="1" max="1" width="20.1796875" bestFit="1" customWidth="1"/>
    <col min="8" max="8" width="12.453125" bestFit="1" customWidth="1"/>
  </cols>
  <sheetData>
    <row r="2" spans="1:10" x14ac:dyDescent="0.35">
      <c r="A2" s="282" t="s">
        <v>596</v>
      </c>
      <c r="B2" s="1">
        <f>(2.1)*(10^11)</f>
        <v>210000000000</v>
      </c>
    </row>
    <row r="3" spans="1:10" x14ac:dyDescent="0.35">
      <c r="A3" s="282" t="s">
        <v>597</v>
      </c>
      <c r="B3" s="22">
        <f>'Secção Mestra'!D18</f>
        <v>110.14375751652545</v>
      </c>
    </row>
    <row r="4" spans="1:10" x14ac:dyDescent="0.35">
      <c r="A4" s="282" t="s">
        <v>598</v>
      </c>
      <c r="B4" s="1">
        <f ca="1">'Normal Stress'!F26</f>
        <v>1013804.2712318152</v>
      </c>
    </row>
    <row r="5" spans="1:10" x14ac:dyDescent="0.35">
      <c r="A5" s="282" t="s">
        <v>599</v>
      </c>
      <c r="B5" s="1">
        <f>MIN('SF and BM (Sagging)'!L8:L28,0)</f>
        <v>-32823.355052559556</v>
      </c>
    </row>
    <row r="8" spans="1:10" x14ac:dyDescent="0.35">
      <c r="A8" s="394" t="s">
        <v>600</v>
      </c>
      <c r="B8" s="394"/>
      <c r="C8" s="394"/>
      <c r="D8" s="394"/>
      <c r="E8" s="394"/>
      <c r="F8" s="394"/>
      <c r="G8" s="394"/>
      <c r="H8" s="394"/>
      <c r="I8" s="394"/>
      <c r="J8" s="394"/>
    </row>
    <row r="9" spans="1:10" x14ac:dyDescent="0.35">
      <c r="A9" s="283" t="s">
        <v>530</v>
      </c>
      <c r="B9" s="284" t="s">
        <v>601</v>
      </c>
      <c r="C9" s="284" t="s">
        <v>602</v>
      </c>
      <c r="D9" s="284" t="s">
        <v>603</v>
      </c>
      <c r="E9" s="284" t="s">
        <v>604</v>
      </c>
      <c r="F9" s="284" t="s">
        <v>605</v>
      </c>
      <c r="G9" s="284" t="s">
        <v>606</v>
      </c>
      <c r="H9" s="284" t="s">
        <v>607</v>
      </c>
      <c r="I9" s="284" t="s">
        <v>608</v>
      </c>
      <c r="J9" s="284" t="s">
        <v>609</v>
      </c>
    </row>
    <row r="10" spans="1:10" x14ac:dyDescent="0.35">
      <c r="A10" s="283" t="s">
        <v>2</v>
      </c>
      <c r="B10" s="284" t="s">
        <v>96</v>
      </c>
      <c r="C10" s="284" t="s">
        <v>97</v>
      </c>
      <c r="D10" s="284" t="s">
        <v>5</v>
      </c>
      <c r="E10" s="284" t="s">
        <v>98</v>
      </c>
      <c r="F10" s="284" t="s">
        <v>99</v>
      </c>
      <c r="G10" s="284" t="s">
        <v>100</v>
      </c>
      <c r="H10" s="284" t="s">
        <v>101</v>
      </c>
      <c r="I10" s="284"/>
      <c r="J10" s="284"/>
    </row>
    <row r="11" spans="1:10" x14ac:dyDescent="0.35">
      <c r="A11" s="283">
        <v>0</v>
      </c>
      <c r="B11" s="108">
        <f>A11/20</f>
        <v>0</v>
      </c>
      <c r="C11" s="108">
        <f>'SF and BM (Sagging)'!L8/$B$5</f>
        <v>0</v>
      </c>
      <c r="D11" s="108">
        <f ca="1">'Normal Stress'!F5/$B$4</f>
        <v>0</v>
      </c>
      <c r="E11" s="108">
        <f ca="1">C11*D11</f>
        <v>0</v>
      </c>
      <c r="F11" s="108">
        <v>0</v>
      </c>
      <c r="G11" s="108">
        <v>0</v>
      </c>
      <c r="H11" s="1">
        <f ca="1">G11-$G$31*B11</f>
        <v>0</v>
      </c>
      <c r="I11" s="108">
        <f ca="1">H11*$B$4*(Prelude!$C$2^2)/($B$2*$B$3)</f>
        <v>0</v>
      </c>
      <c r="J11" s="108">
        <f ca="1">I11*1000</f>
        <v>0</v>
      </c>
    </row>
    <row r="12" spans="1:10" x14ac:dyDescent="0.35">
      <c r="A12" s="283">
        <v>1</v>
      </c>
      <c r="B12" s="108">
        <f t="shared" ref="B12:B31" si="0">A12/20</f>
        <v>0.05</v>
      </c>
      <c r="C12" s="108">
        <f>'SF and BM (Sagging)'!L9/$B$5</f>
        <v>1.3287303953974391E-2</v>
      </c>
      <c r="D12" s="108">
        <f ca="1">'Normal Stress'!F6/$B$4</f>
        <v>7.3455291440750456E-2</v>
      </c>
      <c r="E12" s="108">
        <f t="shared" ref="E12:E31" ca="1" si="1">C12*D12</f>
        <v>9.7602278440102482E-4</v>
      </c>
      <c r="F12" s="1">
        <f ca="1">E12+E11+F11</f>
        <v>9.7602278440102482E-4</v>
      </c>
      <c r="G12" s="1">
        <f ca="1">F12+F11+G11</f>
        <v>9.7602278440102482E-4</v>
      </c>
      <c r="H12" s="1">
        <f t="shared" ref="H12:H31" ca="1" si="2">G12-$G$31*B12</f>
        <v>-14.30789743756077</v>
      </c>
      <c r="I12" s="108">
        <f ca="1">H12*$B$4*(Prelude!$C$2^2)/($B$2*$B$3)</f>
        <v>-2.1929764359240548E-2</v>
      </c>
      <c r="J12" s="108">
        <f t="shared" ref="J12:J31" ca="1" si="3">I12*1000</f>
        <v>-21.929764359240547</v>
      </c>
    </row>
    <row r="13" spans="1:10" x14ac:dyDescent="0.35">
      <c r="A13" s="283">
        <v>2</v>
      </c>
      <c r="B13" s="108">
        <f t="shared" si="0"/>
        <v>0.1</v>
      </c>
      <c r="C13" s="108">
        <f>'SF and BM (Sagging)'!L10/$B$5</f>
        <v>6.0568599467286682E-2</v>
      </c>
      <c r="D13" s="108">
        <f ca="1">'Normal Stress'!F7/$B$4</f>
        <v>0.14821148807989784</v>
      </c>
      <c r="E13" s="108">
        <f t="shared" ca="1" si="1"/>
        <v>8.9769622579618669E-3</v>
      </c>
      <c r="F13" s="1">
        <f t="shared" ref="F13:G28" ca="1" si="4">E13+E12+F12</f>
        <v>1.0929007826763917E-2</v>
      </c>
      <c r="G13" s="1">
        <f t="shared" ca="1" si="4"/>
        <v>1.2881053395565967E-2</v>
      </c>
      <c r="H13" s="1">
        <f t="shared" ca="1" si="2"/>
        <v>-28.604865867294777</v>
      </c>
      <c r="I13" s="108">
        <f ca="1">H13*$B$4*(Prelude!$C$2^2)/($B$2*$B$3)</f>
        <v>-4.3842777790025877E-2</v>
      </c>
      <c r="J13" s="108">
        <f t="shared" ca="1" si="3"/>
        <v>-43.842777790025877</v>
      </c>
    </row>
    <row r="14" spans="1:10" x14ac:dyDescent="0.35">
      <c r="A14" s="283">
        <v>3</v>
      </c>
      <c r="B14" s="108">
        <f t="shared" si="0"/>
        <v>0.15</v>
      </c>
      <c r="C14" s="108">
        <f>'SF and BM (Sagging)'!L11/$B$5</f>
        <v>0.150169980554579</v>
      </c>
      <c r="D14" s="108">
        <f ca="1">'Normal Stress'!F8/$B$4</f>
        <v>0.33350396000187044</v>
      </c>
      <c r="E14" s="108">
        <f t="shared" ca="1" si="1"/>
        <v>5.0082283188355975E-2</v>
      </c>
      <c r="F14" s="1">
        <f t="shared" ca="1" si="4"/>
        <v>6.9988253273081752E-2</v>
      </c>
      <c r="G14" s="1">
        <f t="shared" ca="1" si="4"/>
        <v>9.3798314495411636E-2</v>
      </c>
      <c r="H14" s="1">
        <f t="shared" ca="1" si="2"/>
        <v>-42.832822066540103</v>
      </c>
      <c r="I14" s="108">
        <f ca="1">H14*$B$4*(Prelude!$C$2^2)/($B$2*$B$3)</f>
        <v>-6.565001593418178E-2</v>
      </c>
      <c r="J14" s="108">
        <f t="shared" ca="1" si="3"/>
        <v>-65.650015934181781</v>
      </c>
    </row>
    <row r="15" spans="1:10" x14ac:dyDescent="0.35">
      <c r="A15" s="283">
        <v>4</v>
      </c>
      <c r="B15" s="108">
        <f t="shared" si="0"/>
        <v>0.2</v>
      </c>
      <c r="C15" s="108">
        <f>'SF and BM (Sagging)'!L12/$B$5</f>
        <v>0.27986470557753917</v>
      </c>
      <c r="D15" s="108">
        <f ca="1">'Normal Stress'!F9/$B$4</f>
        <v>0.4597683098913723</v>
      </c>
      <c r="E15" s="108">
        <f t="shared" ca="1" si="1"/>
        <v>0.12867292268163169</v>
      </c>
      <c r="F15" s="1">
        <f t="shared" ca="1" si="4"/>
        <v>0.24874345914306942</v>
      </c>
      <c r="G15" s="1">
        <f t="shared" ca="1" si="4"/>
        <v>0.41253002691156282</v>
      </c>
      <c r="H15" s="1">
        <f t="shared" ca="1" si="2"/>
        <v>-56.822963814469126</v>
      </c>
      <c r="I15" s="108">
        <f ca="1">H15*$B$4*(Prelude!$C$2^2)/($B$2*$B$3)</f>
        <v>-8.7092755038464947E-2</v>
      </c>
      <c r="J15" s="108">
        <f t="shared" ca="1" si="3"/>
        <v>-87.092755038464944</v>
      </c>
    </row>
    <row r="16" spans="1:10" x14ac:dyDescent="0.35">
      <c r="A16" s="283">
        <v>5</v>
      </c>
      <c r="B16" s="108">
        <f t="shared" si="0"/>
        <v>0.25</v>
      </c>
      <c r="C16" s="108">
        <f>'SF and BM (Sagging)'!L13/$B$5</f>
        <v>0.43821354332126305</v>
      </c>
      <c r="D16" s="108">
        <f ca="1">'Normal Stress'!F10/$B$4</f>
        <v>0.57511159801247258</v>
      </c>
      <c r="E16" s="108">
        <f t="shared" ca="1" si="1"/>
        <v>0.25202169117019946</v>
      </c>
      <c r="F16" s="1">
        <f t="shared" ca="1" si="4"/>
        <v>0.62943807299490051</v>
      </c>
      <c r="G16" s="1">
        <f t="shared" ca="1" si="4"/>
        <v>1.2907115590495328</v>
      </c>
      <c r="H16" s="1">
        <f t="shared" ca="1" si="2"/>
        <v>-70.25365574267633</v>
      </c>
      <c r="I16" s="108">
        <f ca="1">H16*$B$4*(Prelude!$C$2^2)/($B$2*$B$3)</f>
        <v>-0.10767802345071532</v>
      </c>
      <c r="J16" s="108">
        <f t="shared" ca="1" si="3"/>
        <v>-107.67802345071533</v>
      </c>
    </row>
    <row r="17" spans="1:10" x14ac:dyDescent="0.35">
      <c r="A17" s="283">
        <v>6</v>
      </c>
      <c r="B17" s="108">
        <f t="shared" si="0"/>
        <v>0.3</v>
      </c>
      <c r="C17" s="108">
        <f>'SF and BM (Sagging)'!L14/$B$5</f>
        <v>0.60745307584201569</v>
      </c>
      <c r="D17" s="108">
        <f ca="1">'Normal Stress'!F11/$B$4</f>
        <v>0.74390544594645736</v>
      </c>
      <c r="E17" s="108">
        <f t="shared" ca="1" si="1"/>
        <v>0.45188765127580188</v>
      </c>
      <c r="F17" s="1">
        <f t="shared" ca="1" si="4"/>
        <v>1.333347415440902</v>
      </c>
      <c r="G17" s="1">
        <f t="shared" ca="1" si="4"/>
        <v>3.2534970474853351</v>
      </c>
      <c r="H17" s="1">
        <f t="shared" ca="1" si="2"/>
        <v>-82.599743714585685</v>
      </c>
      <c r="I17" s="108">
        <f ca="1">H17*$B$4*(Prelude!$C$2^2)/($B$2*$B$3)</f>
        <v>-0.12660091559220271</v>
      </c>
      <c r="J17" s="108">
        <f t="shared" ca="1" si="3"/>
        <v>-126.60091559220271</v>
      </c>
    </row>
    <row r="18" spans="1:10" x14ac:dyDescent="0.35">
      <c r="A18" s="283">
        <v>7</v>
      </c>
      <c r="B18" s="108">
        <f t="shared" si="0"/>
        <v>0.35</v>
      </c>
      <c r="C18" s="108">
        <f>'SF and BM (Sagging)'!L15/$B$5</f>
        <v>0.76700668824856533</v>
      </c>
      <c r="D18" s="108">
        <f ca="1">'Normal Stress'!F12/$B$4</f>
        <v>0.75451051218139598</v>
      </c>
      <c r="E18" s="108">
        <f t="shared" ca="1" si="1"/>
        <v>0.57871460919698137</v>
      </c>
      <c r="F18" s="1">
        <f t="shared" ca="1" si="4"/>
        <v>2.3639496759136853</v>
      </c>
      <c r="G18" s="1">
        <f t="shared" ca="1" si="4"/>
        <v>6.9507941388399228</v>
      </c>
      <c r="H18" s="1">
        <f t="shared" ca="1" si="2"/>
        <v>-93.211320083576268</v>
      </c>
      <c r="I18" s="108">
        <f ca="1">H18*$B$4*(Prelude!$C$2^2)/($B$2*$B$3)</f>
        <v>-0.14286531574376835</v>
      </c>
      <c r="J18" s="108">
        <f t="shared" ca="1" si="3"/>
        <v>-142.86531574376835</v>
      </c>
    </row>
    <row r="19" spans="1:10" x14ac:dyDescent="0.35">
      <c r="A19" s="283">
        <v>8</v>
      </c>
      <c r="B19" s="108">
        <f t="shared" si="0"/>
        <v>0.4</v>
      </c>
      <c r="C19" s="108">
        <f>'SF and BM (Sagging)'!L16/$B$5</f>
        <v>0.89640574897865377</v>
      </c>
      <c r="D19" s="108">
        <f ca="1">'Normal Stress'!F13/$B$4</f>
        <v>0.78976612316063077</v>
      </c>
      <c r="E19" s="108">
        <f t="shared" ca="1" si="1"/>
        <v>0.707950893149773</v>
      </c>
      <c r="F19" s="1">
        <f t="shared" ca="1" si="4"/>
        <v>3.6506151782604395</v>
      </c>
      <c r="G19" s="1">
        <f t="shared" ca="1" si="4"/>
        <v>12.965358993014048</v>
      </c>
      <c r="H19" s="1">
        <f t="shared" ca="1" si="2"/>
        <v>-101.50562868974733</v>
      </c>
      <c r="I19" s="108">
        <f ca="1">H19*$B$4*(Prelude!$C$2^2)/($B$2*$B$3)</f>
        <v>-0.15557803150441202</v>
      </c>
      <c r="J19" s="108">
        <f t="shared" ca="1" si="3"/>
        <v>-155.57803150441202</v>
      </c>
    </row>
    <row r="20" spans="1:10" x14ac:dyDescent="0.35">
      <c r="A20" s="283">
        <v>9</v>
      </c>
      <c r="B20" s="108">
        <f t="shared" si="0"/>
        <v>0.45</v>
      </c>
      <c r="C20" s="108">
        <f>'SF and BM (Sagging)'!L17/$B$5</f>
        <v>0.97804375353125628</v>
      </c>
      <c r="D20" s="108">
        <f ca="1">'Normal Stress'!F14/$B$4</f>
        <v>0.82929629445393882</v>
      </c>
      <c r="E20" s="108">
        <f t="shared" ca="1" si="1"/>
        <v>0.81108806061729222</v>
      </c>
      <c r="F20" s="1">
        <f t="shared" ca="1" si="4"/>
        <v>5.1696541320275049</v>
      </c>
      <c r="G20" s="1">
        <f t="shared" ca="1" si="4"/>
        <v>21.785628303301991</v>
      </c>
      <c r="H20" s="1">
        <f t="shared" ca="1" si="2"/>
        <v>-106.99423283980457</v>
      </c>
      <c r="I20" s="108">
        <f ca="1">H20*$B$4*(Prelude!$C$2^2)/($B$2*$B$3)</f>
        <v>-0.16399043424892215</v>
      </c>
      <c r="J20" s="108">
        <f t="shared" ca="1" si="3"/>
        <v>-163.99043424892216</v>
      </c>
    </row>
    <row r="21" spans="1:10" x14ac:dyDescent="0.35">
      <c r="A21" s="283">
        <v>10</v>
      </c>
      <c r="B21" s="108">
        <f t="shared" si="0"/>
        <v>0.5</v>
      </c>
      <c r="C21" s="108">
        <f>'SF and BM (Sagging)'!L18/$B$5</f>
        <v>1</v>
      </c>
      <c r="D21" s="108">
        <f ca="1">'Normal Stress'!F15/$B$4</f>
        <v>0.86933784085513111</v>
      </c>
      <c r="E21" s="108">
        <f t="shared" ca="1" si="1"/>
        <v>0.86933784085513111</v>
      </c>
      <c r="F21" s="1">
        <f t="shared" ca="1" si="4"/>
        <v>6.8500800334999283</v>
      </c>
      <c r="G21" s="1">
        <f t="shared" ca="1" si="4"/>
        <v>33.805362468829422</v>
      </c>
      <c r="H21" s="1">
        <f t="shared" ca="1" si="2"/>
        <v>-109.28337213462228</v>
      </c>
      <c r="I21" s="108">
        <f ca="1">H21*$B$4*(Prelude!$C$2^2)/($B$2*$B$3)</f>
        <v>-0.16749900603872583</v>
      </c>
      <c r="J21" s="108">
        <f t="shared" ca="1" si="3"/>
        <v>-167.49900603872584</v>
      </c>
    </row>
    <row r="22" spans="1:10" x14ac:dyDescent="0.35">
      <c r="A22" s="283">
        <v>11</v>
      </c>
      <c r="B22" s="108">
        <f t="shared" si="0"/>
        <v>0.55000000000000004</v>
      </c>
      <c r="C22" s="108">
        <f>'SF and BM (Sagging)'!L19/$B$5</f>
        <v>0.95850138174685284</v>
      </c>
      <c r="D22" s="108">
        <f ca="1">'Normal Stress'!F16/$B$4</f>
        <v>0.91026563625828383</v>
      </c>
      <c r="E22" s="108">
        <f t="shared" ca="1" si="1"/>
        <v>0.87249087011024318</v>
      </c>
      <c r="F22" s="1">
        <f t="shared" ca="1" si="4"/>
        <v>8.591908744465302</v>
      </c>
      <c r="G22" s="1">
        <f t="shared" ca="1" si="4"/>
        <v>49.247351246794651</v>
      </c>
      <c r="H22" s="1">
        <f t="shared" ca="1" si="2"/>
        <v>-108.15025681700224</v>
      </c>
      <c r="I22" s="108">
        <f ca="1">H22*$B$4*(Prelude!$C$2^2)/($B$2*$B$3)</f>
        <v>-0.16576227623508466</v>
      </c>
      <c r="J22" s="108">
        <f t="shared" ca="1" si="3"/>
        <v>-165.76227623508467</v>
      </c>
    </row>
    <row r="23" spans="1:10" x14ac:dyDescent="0.35">
      <c r="A23" s="283">
        <v>12</v>
      </c>
      <c r="B23" s="108">
        <f t="shared" si="0"/>
        <v>0.6</v>
      </c>
      <c r="C23" s="108">
        <f>'SF and BM (Sagging)'!L20/$B$5</f>
        <v>0.85899264048646351</v>
      </c>
      <c r="D23" s="108">
        <f ca="1">'Normal Stress'!F17/$B$4</f>
        <v>0.94889461191382873</v>
      </c>
      <c r="E23" s="108">
        <f t="shared" ca="1" si="1"/>
        <v>0.81509348823123784</v>
      </c>
      <c r="F23" s="1">
        <f t="shared" ca="1" si="4"/>
        <v>10.279493102806782</v>
      </c>
      <c r="G23" s="1">
        <f t="shared" ca="1" si="4"/>
        <v>68.118753094066733</v>
      </c>
      <c r="H23" s="1">
        <f t="shared" ca="1" si="2"/>
        <v>-103.58772843007532</v>
      </c>
      <c r="I23" s="108">
        <f ca="1">H23*$B$4*(Prelude!$C$2^2)/($B$2*$B$3)</f>
        <v>-0.15876927304616109</v>
      </c>
      <c r="J23" s="108">
        <f t="shared" ca="1" si="3"/>
        <v>-158.76927304616109</v>
      </c>
    </row>
    <row r="24" spans="1:10" x14ac:dyDescent="0.35">
      <c r="A24" s="283">
        <v>13</v>
      </c>
      <c r="B24" s="108">
        <f t="shared" si="0"/>
        <v>0.65</v>
      </c>
      <c r="C24" s="108">
        <f>'SF and BM (Sagging)'!L21/$B$5</f>
        <v>0.71506925112818653</v>
      </c>
      <c r="D24" s="108">
        <f ca="1">'Normal Stress'!F18/$B$4</f>
        <v>0.97855306717332802</v>
      </c>
      <c r="E24" s="108">
        <f t="shared" ca="1" si="1"/>
        <v>0.69973320893282165</v>
      </c>
      <c r="F24" s="1">
        <f t="shared" ca="1" si="4"/>
        <v>11.794319799970841</v>
      </c>
      <c r="G24" s="1">
        <f t="shared" ca="1" si="4"/>
        <v>90.192565996844365</v>
      </c>
      <c r="H24" s="1">
        <f t="shared" ca="1" si="2"/>
        <v>-95.822788987642866</v>
      </c>
      <c r="I24" s="108">
        <f ca="1">H24*$B$4*(Prelude!$C$2^2)/($B$2*$B$3)</f>
        <v>-0.14686792325109668</v>
      </c>
      <c r="J24" s="108">
        <f t="shared" ca="1" si="3"/>
        <v>-146.86792325109667</v>
      </c>
    </row>
    <row r="25" spans="1:10" x14ac:dyDescent="0.35">
      <c r="A25" s="283">
        <v>14</v>
      </c>
      <c r="B25" s="108">
        <f t="shared" si="0"/>
        <v>0.7</v>
      </c>
      <c r="C25" s="108">
        <f>'SF and BM (Sagging)'!L22/$B$5</f>
        <v>0.54600187122383315</v>
      </c>
      <c r="D25" s="108">
        <f ca="1">'Normal Stress'!F19/$B$4</f>
        <v>1</v>
      </c>
      <c r="E25" s="108">
        <f t="shared" ca="1" si="1"/>
        <v>0.54600187122383315</v>
      </c>
      <c r="F25" s="1">
        <f t="shared" ca="1" si="4"/>
        <v>13.040054880127496</v>
      </c>
      <c r="G25" s="1">
        <f t="shared" ca="1" si="4"/>
        <v>115.0269406769427</v>
      </c>
      <c r="H25" s="1">
        <f t="shared" ca="1" si="2"/>
        <v>-85.297287767889685</v>
      </c>
      <c r="I25" s="108">
        <f ca="1">H25*$B$4*(Prelude!$C$2^2)/($B$2*$B$3)</f>
        <v>-0.13073545078130261</v>
      </c>
      <c r="J25" s="108">
        <f t="shared" ca="1" si="3"/>
        <v>-130.7354507813026</v>
      </c>
    </row>
    <row r="26" spans="1:10" x14ac:dyDescent="0.35">
      <c r="A26" s="283">
        <v>15</v>
      </c>
      <c r="B26" s="108">
        <f t="shared" si="0"/>
        <v>0.75</v>
      </c>
      <c r="C26" s="108">
        <f>'SF and BM (Sagging)'!L23/$B$5</f>
        <v>0.37382773926794954</v>
      </c>
      <c r="D26" s="108">
        <f ca="1">'Normal Stress'!F20/$B$4</f>
        <v>0.80726526878524396</v>
      </c>
      <c r="E26" s="108">
        <f t="shared" ca="1" si="1"/>
        <v>0.30177815041952138</v>
      </c>
      <c r="F26" s="1">
        <f t="shared" ca="1" si="4"/>
        <v>13.88783490177085</v>
      </c>
      <c r="G26" s="1">
        <f t="shared" ca="1" si="4"/>
        <v>141.95483045884106</v>
      </c>
      <c r="H26" s="1">
        <f t="shared" ca="1" si="2"/>
        <v>-72.67827144633651</v>
      </c>
      <c r="I26" s="108">
        <f ca="1">H26*$B$4*(Prelude!$C$2^2)/($B$2*$B$3)</f>
        <v>-0.11139424040537407</v>
      </c>
      <c r="J26" s="108">
        <f t="shared" ca="1" si="3"/>
        <v>-111.39424040537408</v>
      </c>
    </row>
    <row r="27" spans="1:10" x14ac:dyDescent="0.35">
      <c r="A27" s="283">
        <v>16</v>
      </c>
      <c r="B27" s="108">
        <f t="shared" si="0"/>
        <v>0.8</v>
      </c>
      <c r="C27" s="108">
        <f>'SF and BM (Sagging)'!L24/$B$5</f>
        <v>0.22030005051141957</v>
      </c>
      <c r="D27" s="108">
        <f ca="1">'Normal Stress'!F21/$B$4</f>
        <v>0.60001194968863747</v>
      </c>
      <c r="E27" s="108">
        <f t="shared" ca="1" si="1"/>
        <v>0.13218266282386218</v>
      </c>
      <c r="F27" s="1">
        <f t="shared" ca="1" si="4"/>
        <v>14.321795715014233</v>
      </c>
      <c r="G27" s="1">
        <f t="shared" ca="1" si="4"/>
        <v>170.16446107562615</v>
      </c>
      <c r="H27" s="1">
        <f t="shared" ca="1" si="2"/>
        <v>-58.777514289896601</v>
      </c>
      <c r="I27" s="108">
        <f ca="1">H27*$B$4*(Prelude!$C$2^2)/($B$2*$B$3)</f>
        <v>-9.0088501376556773E-2</v>
      </c>
      <c r="J27" s="108">
        <f t="shared" ca="1" si="3"/>
        <v>-90.088501376556778</v>
      </c>
    </row>
    <row r="28" spans="1:10" x14ac:dyDescent="0.35">
      <c r="A28" s="283">
        <v>17</v>
      </c>
      <c r="B28" s="108">
        <f t="shared" si="0"/>
        <v>0.85</v>
      </c>
      <c r="C28" s="108">
        <f>'SF and BM (Sagging)'!L25/$B$5</f>
        <v>0.10323450647999759</v>
      </c>
      <c r="D28" s="108">
        <f ca="1">'Normal Stress'!F22/$B$4</f>
        <v>0.38119499313625155</v>
      </c>
      <c r="E28" s="108">
        <f t="shared" ca="1" si="1"/>
        <v>3.9352476989066999E-2</v>
      </c>
      <c r="F28" s="1">
        <f t="shared" ca="1" si="4"/>
        <v>14.493330854827162</v>
      </c>
      <c r="G28" s="1">
        <f t="shared" ca="1" si="4"/>
        <v>198.97958764546755</v>
      </c>
      <c r="H28" s="1">
        <f t="shared" ca="1" si="2"/>
        <v>-44.271261180400359</v>
      </c>
      <c r="I28" s="108">
        <f ca="1">H28*$B$4*(Prelude!$C$2^2)/($B$2*$B$3)</f>
        <v>-6.785471658637264E-2</v>
      </c>
      <c r="J28" s="108">
        <f t="shared" ca="1" si="3"/>
        <v>-67.854716586372646</v>
      </c>
    </row>
    <row r="29" spans="1:10" x14ac:dyDescent="0.35">
      <c r="A29" s="283">
        <v>18</v>
      </c>
      <c r="B29" s="108">
        <f t="shared" si="0"/>
        <v>0.9</v>
      </c>
      <c r="C29" s="108">
        <f>'SF and BM (Sagging)'!L26/$B$5</f>
        <v>3.179844004461263E-2</v>
      </c>
      <c r="D29" s="108">
        <f ca="1">'Normal Stress'!F23/$B$4</f>
        <v>0.15853224646659436</v>
      </c>
      <c r="E29" s="108">
        <f t="shared" ca="1" si="1"/>
        <v>5.0410781344057531E-3</v>
      </c>
      <c r="F29" s="1">
        <f t="shared" ref="F29:G31" ca="1" si="5">E29+E28+F28</f>
        <v>14.537724409950634</v>
      </c>
      <c r="G29" s="1">
        <f t="shared" ca="1" si="5"/>
        <v>228.01064291024534</v>
      </c>
      <c r="H29" s="1">
        <f t="shared" ca="1" si="2"/>
        <v>-29.549079375967779</v>
      </c>
      <c r="I29" s="108">
        <f ca="1">H29*$B$4*(Prelude!$C$2^2)/($B$2*$B$3)</f>
        <v>-4.528997713153448E-2</v>
      </c>
      <c r="J29" s="108">
        <f t="shared" ca="1" si="3"/>
        <v>-45.289977131534478</v>
      </c>
    </row>
    <row r="30" spans="1:10" x14ac:dyDescent="0.35">
      <c r="A30" s="283">
        <v>19</v>
      </c>
      <c r="B30" s="108">
        <f t="shared" si="0"/>
        <v>0.95</v>
      </c>
      <c r="C30" s="108">
        <f>'SF and BM (Sagging)'!L27/$B$5</f>
        <v>2.6902810851485446E-3</v>
      </c>
      <c r="D30" s="108">
        <f ca="1">'Normal Stress'!F24/$B$4</f>
        <v>7.4845566954483606E-2</v>
      </c>
      <c r="E30" s="108">
        <f t="shared" ca="1" si="1"/>
        <v>2.013556130848662E-4</v>
      </c>
      <c r="F30" s="1">
        <f t="shared" ca="1" si="5"/>
        <v>14.542966843698125</v>
      </c>
      <c r="G30" s="1">
        <f t="shared" ca="1" si="5"/>
        <v>257.09133416389409</v>
      </c>
      <c r="H30" s="1">
        <f t="shared" ca="1" si="2"/>
        <v>-14.777261582664153</v>
      </c>
      <c r="I30" s="108">
        <f ca="1">H30*$B$4*(Prelude!$C$2^2)/($B$2*$B$3)</f>
        <v>-2.2649160423247307E-2</v>
      </c>
      <c r="J30" s="108">
        <f t="shared" ca="1" si="3"/>
        <v>-22.649160423247306</v>
      </c>
    </row>
    <row r="31" spans="1:10" x14ac:dyDescent="0.35">
      <c r="A31" s="283">
        <v>20</v>
      </c>
      <c r="B31" s="108">
        <f t="shared" si="0"/>
        <v>1</v>
      </c>
      <c r="C31" s="108">
        <f>'SF and BM (Sagging)'!L28/$B$5</f>
        <v>0</v>
      </c>
      <c r="D31" s="108">
        <f ca="1">'Normal Stress'!F25/$B$4</f>
        <v>0</v>
      </c>
      <c r="E31" s="108">
        <f t="shared" ca="1" si="1"/>
        <v>0</v>
      </c>
      <c r="F31" s="1">
        <f ca="1">E31+E30+F30</f>
        <v>14.543168199311209</v>
      </c>
      <c r="G31" s="1">
        <f t="shared" ca="1" si="5"/>
        <v>286.17746920690342</v>
      </c>
      <c r="H31" s="1">
        <f t="shared" ca="1" si="2"/>
        <v>0</v>
      </c>
      <c r="I31" s="108">
        <f ca="1">H31*$B$4*(Prelude!$C$2^2)/($B$2*$B$3)</f>
        <v>0</v>
      </c>
      <c r="J31" s="108">
        <f t="shared" ca="1" si="3"/>
        <v>0</v>
      </c>
    </row>
    <row r="35" spans="1:10" x14ac:dyDescent="0.35">
      <c r="A35" s="283" t="s">
        <v>599</v>
      </c>
      <c r="B35" s="1">
        <f>LARGE('SF and BM (Hogging)'!L8:L28,1)</f>
        <v>31536.35431008595</v>
      </c>
    </row>
    <row r="36" spans="1:10" x14ac:dyDescent="0.35">
      <c r="A36" s="283" t="s">
        <v>610</v>
      </c>
      <c r="B36" s="108">
        <f ca="1">'Normal Stress'!G26</f>
        <v>-1045493.002625159</v>
      </c>
    </row>
    <row r="39" spans="1:10" x14ac:dyDescent="0.35">
      <c r="A39" s="394" t="s">
        <v>595</v>
      </c>
      <c r="B39" s="394"/>
      <c r="C39" s="394"/>
      <c r="D39" s="394"/>
      <c r="E39" s="394"/>
      <c r="F39" s="394"/>
      <c r="G39" s="394"/>
      <c r="H39" s="394"/>
      <c r="I39" s="394"/>
      <c r="J39" s="394"/>
    </row>
    <row r="40" spans="1:10" x14ac:dyDescent="0.35">
      <c r="A40" s="283" t="s">
        <v>530</v>
      </c>
      <c r="B40" s="284" t="s">
        <v>601</v>
      </c>
      <c r="C40" s="284" t="s">
        <v>602</v>
      </c>
      <c r="D40" s="284" t="s">
        <v>603</v>
      </c>
      <c r="E40" s="284" t="s">
        <v>604</v>
      </c>
      <c r="F40" s="284" t="s">
        <v>605</v>
      </c>
      <c r="G40" s="284" t="s">
        <v>606</v>
      </c>
      <c r="H40" s="284" t="s">
        <v>607</v>
      </c>
      <c r="I40" s="284" t="s">
        <v>608</v>
      </c>
      <c r="J40" s="284" t="s">
        <v>611</v>
      </c>
    </row>
    <row r="41" spans="1:10" x14ac:dyDescent="0.35">
      <c r="A41" s="283" t="s">
        <v>2</v>
      </c>
      <c r="B41" s="284" t="s">
        <v>96</v>
      </c>
      <c r="C41" s="284" t="s">
        <v>97</v>
      </c>
      <c r="D41" s="284" t="s">
        <v>5</v>
      </c>
      <c r="E41" s="284" t="s">
        <v>98</v>
      </c>
      <c r="F41" s="284" t="s">
        <v>99</v>
      </c>
      <c r="G41" s="284" t="s">
        <v>100</v>
      </c>
      <c r="H41" s="284" t="s">
        <v>101</v>
      </c>
      <c r="I41" s="284"/>
      <c r="J41" s="284"/>
    </row>
    <row r="42" spans="1:10" x14ac:dyDescent="0.35">
      <c r="A42" s="283">
        <v>0</v>
      </c>
      <c r="B42" s="108">
        <f>A42/20</f>
        <v>0</v>
      </c>
      <c r="C42" s="108">
        <f>'SF and BM (Hogging)'!L8/$B$35</f>
        <v>0</v>
      </c>
      <c r="D42" s="108">
        <f ca="1">'Normal Stress'!G5/$B$36</f>
        <v>0</v>
      </c>
      <c r="E42" s="108">
        <f ca="1">C42*D42</f>
        <v>0</v>
      </c>
      <c r="F42" s="108">
        <v>0</v>
      </c>
      <c r="G42" s="108">
        <v>0</v>
      </c>
      <c r="H42" s="1">
        <f ca="1">G42-$G$62*B42</f>
        <v>0</v>
      </c>
      <c r="I42" s="108">
        <f ca="1">H42*$B$36*(Prelude!$C$2^2)/($B$2*$B$3)</f>
        <v>0</v>
      </c>
      <c r="J42" s="108">
        <f ca="1">I42*1000</f>
        <v>0</v>
      </c>
    </row>
    <row r="43" spans="1:10" x14ac:dyDescent="0.35">
      <c r="A43" s="283">
        <v>1</v>
      </c>
      <c r="B43" s="108">
        <f t="shared" ref="B43:B62" si="6">A43/20</f>
        <v>0.05</v>
      </c>
      <c r="C43" s="108">
        <f>'SF and BM (Hogging)'!L9/$B$35</f>
        <v>1.6254650711472203E-2</v>
      </c>
      <c r="D43" s="108">
        <f ca="1">'Normal Stress'!G6/$B$36</f>
        <v>5.7872961105177249E-2</v>
      </c>
      <c r="E43" s="108">
        <f t="shared" ref="E43:E62" ca="1" si="7">C43*D43</f>
        <v>9.4070476840327254E-4</v>
      </c>
      <c r="F43" s="1">
        <f ca="1">E43+E42+F42</f>
        <v>9.4070476840327254E-4</v>
      </c>
      <c r="G43" s="1">
        <f ca="1">F43+F42+G42</f>
        <v>9.4070476840327254E-4</v>
      </c>
      <c r="H43" s="1">
        <f t="shared" ref="H43:H62" ca="1" si="8">G43-$G$62*B43</f>
        <v>-15.135190364949539</v>
      </c>
      <c r="I43" s="108">
        <f ca="1">H43*$B$36*(Prelude!$C$2^2)/($B$2*$B$3)</f>
        <v>2.3922857224251519E-2</v>
      </c>
      <c r="J43" s="108">
        <f t="shared" ref="J43:J62" ca="1" si="9">I43*1000</f>
        <v>23.922857224251519</v>
      </c>
    </row>
    <row r="44" spans="1:10" x14ac:dyDescent="0.35">
      <c r="A44" s="283">
        <v>2</v>
      </c>
      <c r="B44" s="108">
        <f t="shared" si="6"/>
        <v>0.1</v>
      </c>
      <c r="C44" s="108">
        <f>'SF and BM (Hogging)'!L10/$B$35</f>
        <v>5.9652911366444246E-2</v>
      </c>
      <c r="D44" s="108">
        <f ca="1">'Normal Stress'!G7/$B$36</f>
        <v>0.11448444724754665</v>
      </c>
      <c r="E44" s="108">
        <f t="shared" ca="1" si="7"/>
        <v>6.8293305844942627E-3</v>
      </c>
      <c r="F44" s="1">
        <f t="shared" ref="F44:G59" ca="1" si="10">E44+E43+F43</f>
        <v>8.7107401213008077E-3</v>
      </c>
      <c r="G44" s="1">
        <f t="shared" ca="1" si="10"/>
        <v>1.0592149658107352E-2</v>
      </c>
      <c r="H44" s="1">
        <f t="shared" ca="1" si="8"/>
        <v>-30.261669989777776</v>
      </c>
      <c r="I44" s="108">
        <f ca="1">H44*$B$36*(Prelude!$C$2^2)/($B$2*$B$3)</f>
        <v>4.7831946151757856E-2</v>
      </c>
      <c r="J44" s="108">
        <f t="shared" ca="1" si="9"/>
        <v>47.831946151757855</v>
      </c>
    </row>
    <row r="45" spans="1:10" x14ac:dyDescent="0.35">
      <c r="A45" s="283">
        <v>3</v>
      </c>
      <c r="B45" s="108">
        <f t="shared" si="6"/>
        <v>0.15</v>
      </c>
      <c r="C45" s="108">
        <f>'SF and BM (Hogging)'!L11/$B$35</f>
        <v>0.14222799347506765</v>
      </c>
      <c r="D45" s="108">
        <f ca="1">'Normal Stress'!G8/$B$36</f>
        <v>0.30059669121997334</v>
      </c>
      <c r="E45" s="108">
        <f t="shared" ca="1" si="7"/>
        <v>4.2753264237461293E-2</v>
      </c>
      <c r="F45" s="1">
        <f t="shared" ca="1" si="10"/>
        <v>5.8293334943256364E-2</v>
      </c>
      <c r="G45" s="1">
        <f t="shared" ca="1" si="10"/>
        <v>7.7596224722664531E-2</v>
      </c>
      <c r="H45" s="1">
        <f t="shared" ca="1" si="8"/>
        <v>-45.33079698443116</v>
      </c>
      <c r="I45" s="108">
        <f ca="1">H45*$B$36*(Prelude!$C$2^2)/($B$2*$B$3)</f>
        <v>7.1650382847609037E-2</v>
      </c>
      <c r="J45" s="108">
        <f t="shared" ca="1" si="9"/>
        <v>71.650382847609038</v>
      </c>
    </row>
    <row r="46" spans="1:10" x14ac:dyDescent="0.35">
      <c r="A46" s="283">
        <v>4</v>
      </c>
      <c r="B46" s="108">
        <f t="shared" si="6"/>
        <v>0.2</v>
      </c>
      <c r="C46" s="108">
        <f>'SF and BM (Hogging)'!L12/$B$35</f>
        <v>0.26576515579418042</v>
      </c>
      <c r="D46" s="108">
        <f ca="1">'Normal Stress'!G9/$B$36</f>
        <v>0.5439479239652093</v>
      </c>
      <c r="E46" s="108">
        <f t="shared" ca="1" si="7"/>
        <v>0.14456240475653487</v>
      </c>
      <c r="F46" s="1">
        <f t="shared" ca="1" si="10"/>
        <v>0.24560900393725252</v>
      </c>
      <c r="G46" s="1">
        <f t="shared" ca="1" si="10"/>
        <v>0.38149856360317341</v>
      </c>
      <c r="H46" s="1">
        <f t="shared" ca="1" si="8"/>
        <v>-60.163025715268596</v>
      </c>
      <c r="I46" s="108">
        <f ca="1">H46*$B$36*(Prelude!$C$2^2)/($B$2*$B$3)</f>
        <v>9.5094375403327935E-2</v>
      </c>
      <c r="J46" s="108">
        <f t="shared" ca="1" si="9"/>
        <v>95.09437540332793</v>
      </c>
    </row>
    <row r="47" spans="1:10" x14ac:dyDescent="0.35">
      <c r="A47" s="283">
        <v>5</v>
      </c>
      <c r="B47" s="108">
        <f t="shared" si="6"/>
        <v>0.25</v>
      </c>
      <c r="C47" s="108">
        <f>'SF and BM (Hogging)'!L13/$B$35</f>
        <v>0.42102124619163106</v>
      </c>
      <c r="D47" s="108">
        <f ca="1">'Normal Stress'!G10/$B$36</f>
        <v>0.79788920278382003</v>
      </c>
      <c r="E47" s="108">
        <f t="shared" ca="1" si="7"/>
        <v>0.33592830647889094</v>
      </c>
      <c r="F47" s="1">
        <f t="shared" ca="1" si="10"/>
        <v>0.72609971517267835</v>
      </c>
      <c r="G47" s="1">
        <f t="shared" ca="1" si="10"/>
        <v>1.3532072827131043</v>
      </c>
      <c r="H47" s="1">
        <f t="shared" ca="1" si="8"/>
        <v>-74.327448065876609</v>
      </c>
      <c r="I47" s="108">
        <f ca="1">H47*$B$36*(Prelude!$C$2^2)/($B$2*$B$3)</f>
        <v>0.11748282545826204</v>
      </c>
      <c r="J47" s="108">
        <f t="shared" ca="1" si="9"/>
        <v>117.48282545826204</v>
      </c>
    </row>
    <row r="48" spans="1:10" x14ac:dyDescent="0.35">
      <c r="A48" s="283">
        <v>6</v>
      </c>
      <c r="B48" s="108">
        <f t="shared" si="6"/>
        <v>0.3</v>
      </c>
      <c r="C48" s="108">
        <f>'SF and BM (Hogging)'!L14/$B$35</f>
        <v>0.59061261874705262</v>
      </c>
      <c r="D48" s="108">
        <f ca="1">'Normal Stress'!G11/$B$36</f>
        <v>1</v>
      </c>
      <c r="E48" s="108">
        <f t="shared" ca="1" si="7"/>
        <v>0.59061261874705262</v>
      </c>
      <c r="F48" s="1">
        <f t="shared" ca="1" si="10"/>
        <v>1.652640640398622</v>
      </c>
      <c r="G48" s="1">
        <f t="shared" ca="1" si="10"/>
        <v>3.7319476382844048</v>
      </c>
      <c r="H48" s="1">
        <f t="shared" ca="1" si="8"/>
        <v>-87.084838780023233</v>
      </c>
      <c r="I48" s="108">
        <f ca="1">H48*$B$36*(Prelude!$C$2^2)/($B$2*$B$3)</f>
        <v>0.13764730500886591</v>
      </c>
      <c r="J48" s="108">
        <f t="shared" ca="1" si="9"/>
        <v>137.64730500886591</v>
      </c>
    </row>
    <row r="49" spans="1:10" x14ac:dyDescent="0.35">
      <c r="A49" s="283">
        <v>7</v>
      </c>
      <c r="B49" s="108">
        <f t="shared" si="6"/>
        <v>0.35</v>
      </c>
      <c r="C49" s="108">
        <f>'SF and BM (Hogging)'!L15/$B$35</f>
        <v>0.75321525203980155</v>
      </c>
      <c r="D49" s="108">
        <f ca="1">'Normal Stress'!G12/$B$36</f>
        <v>0.98971637168428583</v>
      </c>
      <c r="E49" s="108">
        <f t="shared" ca="1" si="7"/>
        <v>0.74546946634609723</v>
      </c>
      <c r="F49" s="1">
        <f t="shared" ca="1" si="10"/>
        <v>2.9887227254917716</v>
      </c>
      <c r="G49" s="1">
        <f t="shared" ca="1" si="10"/>
        <v>8.3733110041747985</v>
      </c>
      <c r="H49" s="1">
        <f t="shared" ca="1" si="8"/>
        <v>-97.579606483850796</v>
      </c>
      <c r="I49" s="108">
        <f ca="1">H49*$B$36*(Prelude!$C$2^2)/($B$2*$B$3)</f>
        <v>0.15423545641803318</v>
      </c>
      <c r="J49" s="108">
        <f t="shared" ca="1" si="9"/>
        <v>154.23545641803318</v>
      </c>
    </row>
    <row r="50" spans="1:10" x14ac:dyDescent="0.35">
      <c r="A50" s="283">
        <v>8</v>
      </c>
      <c r="B50" s="108">
        <f t="shared" si="6"/>
        <v>0.4</v>
      </c>
      <c r="C50" s="108">
        <f>'SF and BM (Hogging)'!L16/$B$35</f>
        <v>0.88718894544986737</v>
      </c>
      <c r="D50" s="108">
        <f ca="1">'Normal Stress'!G13/$B$36</f>
        <v>0.95552935282725948</v>
      </c>
      <c r="E50" s="108">
        <f t="shared" ca="1" si="7"/>
        <v>0.84773507888121058</v>
      </c>
      <c r="F50" s="1">
        <f t="shared" ca="1" si="10"/>
        <v>4.5819272707190795</v>
      </c>
      <c r="G50" s="1">
        <f t="shared" ca="1" si="10"/>
        <v>15.943961000385649</v>
      </c>
      <c r="H50" s="1">
        <f t="shared" ca="1" si="8"/>
        <v>-105.1450875573579</v>
      </c>
      <c r="I50" s="108">
        <f ca="1">H50*$B$36*(Prelude!$C$2^2)/($B$2*$B$3)</f>
        <v>0.16619354344503379</v>
      </c>
      <c r="J50" s="108">
        <f t="shared" ca="1" si="9"/>
        <v>166.19354344503378</v>
      </c>
    </row>
    <row r="51" spans="1:10" x14ac:dyDescent="0.35">
      <c r="A51" s="283">
        <v>9</v>
      </c>
      <c r="B51" s="108">
        <f t="shared" si="6"/>
        <v>0.45</v>
      </c>
      <c r="C51" s="108">
        <f>'SF and BM (Hogging)'!L17/$B$35</f>
        <v>0.97374323762161763</v>
      </c>
      <c r="D51" s="108">
        <f ca="1">'Normal Stress'!G14/$B$36</f>
        <v>0.91719733491891053</v>
      </c>
      <c r="E51" s="108">
        <f t="shared" ca="1" si="7"/>
        <v>0.89311470244185909</v>
      </c>
      <c r="F51" s="1">
        <f t="shared" ca="1" si="10"/>
        <v>6.3227770520421487</v>
      </c>
      <c r="G51" s="1">
        <f t="shared" ca="1" si="10"/>
        <v>26.848665323146875</v>
      </c>
      <c r="H51" s="1">
        <f t="shared" ca="1" si="8"/>
        <v>-109.3765143043146</v>
      </c>
      <c r="I51" s="108">
        <f ca="1">H51*$B$36*(Prelude!$C$2^2)/($B$2*$B$3)</f>
        <v>0.17288178558018064</v>
      </c>
      <c r="J51" s="108">
        <f t="shared" ca="1" si="9"/>
        <v>172.88178558018063</v>
      </c>
    </row>
    <row r="52" spans="1:10" x14ac:dyDescent="0.35">
      <c r="A52" s="283">
        <v>10</v>
      </c>
      <c r="B52" s="108">
        <f t="shared" si="6"/>
        <v>0.5</v>
      </c>
      <c r="C52" s="108">
        <f>'SF and BM (Hogging)'!L18/$B$35</f>
        <v>1</v>
      </c>
      <c r="D52" s="108">
        <f ca="1">'Normal Stress'!G15/$B$36</f>
        <v>0.87836944160319619</v>
      </c>
      <c r="E52" s="108">
        <f t="shared" ca="1" si="7"/>
        <v>0.87836944160319619</v>
      </c>
      <c r="F52" s="1">
        <f t="shared" ca="1" si="10"/>
        <v>8.0942611960872046</v>
      </c>
      <c r="G52" s="1">
        <f t="shared" ca="1" si="10"/>
        <v>41.265703571276227</v>
      </c>
      <c r="H52" s="1">
        <f t="shared" ca="1" si="8"/>
        <v>-110.0956071259032</v>
      </c>
      <c r="I52" s="108">
        <f ca="1">H52*$B$36*(Prelude!$C$2^2)/($B$2*$B$3)</f>
        <v>0.17401839202430486</v>
      </c>
      <c r="J52" s="108">
        <f t="shared" ca="1" si="9"/>
        <v>174.01839202430486</v>
      </c>
    </row>
    <row r="53" spans="1:10" x14ac:dyDescent="0.35">
      <c r="A53" s="283">
        <v>11</v>
      </c>
      <c r="B53" s="108">
        <f t="shared" si="6"/>
        <v>0.55000000000000004</v>
      </c>
      <c r="C53" s="108">
        <f>'SF and BM (Hogging)'!L19/$B$35</f>
        <v>0.96160479693219059</v>
      </c>
      <c r="D53" s="108">
        <f ca="1">'Normal Stress'!G16/$B$36</f>
        <v>0.83868216135585572</v>
      </c>
      <c r="E53" s="108">
        <f t="shared" ca="1" si="7"/>
        <v>0.80648078946124835</v>
      </c>
      <c r="F53" s="1">
        <f t="shared" ca="1" si="10"/>
        <v>9.7791114271516495</v>
      </c>
      <c r="G53" s="1">
        <f t="shared" ca="1" si="10"/>
        <v>59.139076194515084</v>
      </c>
      <c r="H53" s="1">
        <f t="shared" ca="1" si="8"/>
        <v>-107.35836557238228</v>
      </c>
      <c r="I53" s="108">
        <f ca="1">H53*$B$36*(Prelude!$C$2^2)/($B$2*$B$3)</f>
        <v>0.16969187631527116</v>
      </c>
      <c r="J53" s="108">
        <f t="shared" ca="1" si="9"/>
        <v>169.69187631527117</v>
      </c>
    </row>
    <row r="54" spans="1:10" x14ac:dyDescent="0.35">
      <c r="A54" s="283">
        <v>12</v>
      </c>
      <c r="B54" s="108">
        <f t="shared" si="6"/>
        <v>0.6</v>
      </c>
      <c r="C54" s="108">
        <f>'SF and BM (Hogging)'!L20/$B$35</f>
        <v>0.86384331711070628</v>
      </c>
      <c r="D54" s="108">
        <f ca="1">'Normal Stress'!G17/$B$36</f>
        <v>0.80122402398471337</v>
      </c>
      <c r="E54" s="108">
        <f t="shared" ca="1" si="7"/>
        <v>0.69213201862774287</v>
      </c>
      <c r="F54" s="1">
        <f t="shared" ca="1" si="10"/>
        <v>11.27772423524064</v>
      </c>
      <c r="G54" s="1">
        <f t="shared" ca="1" si="10"/>
        <v>80.195911856907372</v>
      </c>
      <c r="H54" s="1">
        <f t="shared" ca="1" si="8"/>
        <v>-101.43766097970791</v>
      </c>
      <c r="I54" s="108">
        <f ca="1">H54*$B$36*(Prelude!$C$2^2)/($B$2*$B$3)</f>
        <v>0.16033354204776615</v>
      </c>
      <c r="J54" s="108">
        <f t="shared" ca="1" si="9"/>
        <v>160.33354204776614</v>
      </c>
    </row>
    <row r="55" spans="1:10" x14ac:dyDescent="0.35">
      <c r="A55" s="283">
        <v>13</v>
      </c>
      <c r="B55" s="108">
        <f t="shared" si="6"/>
        <v>0.65</v>
      </c>
      <c r="C55" s="108">
        <f>'SF and BM (Hogging)'!L21/$B$35</f>
        <v>0.72051805951041015</v>
      </c>
      <c r="D55" s="108">
        <f ca="1">'Normal Stress'!G18/$B$36</f>
        <v>0.7724645119222513</v>
      </c>
      <c r="E55" s="108">
        <f t="shared" ca="1" si="7"/>
        <v>0.55657463117087658</v>
      </c>
      <c r="F55" s="1">
        <f t="shared" ca="1" si="10"/>
        <v>12.526430885039259</v>
      </c>
      <c r="G55" s="1">
        <f t="shared" ca="1" si="10"/>
        <v>104.00006697718727</v>
      </c>
      <c r="H55" s="1">
        <f t="shared" ca="1" si="8"/>
        <v>-92.769636929145989</v>
      </c>
      <c r="I55" s="108">
        <f ca="1">H55*$B$36*(Prelude!$C$2^2)/($B$2*$B$3)</f>
        <v>0.14663276281883819</v>
      </c>
      <c r="J55" s="108">
        <f t="shared" ca="1" si="9"/>
        <v>146.63276281883819</v>
      </c>
    </row>
    <row r="56" spans="1:10" x14ac:dyDescent="0.35">
      <c r="A56" s="283">
        <v>14</v>
      </c>
      <c r="B56" s="108">
        <f t="shared" si="6"/>
        <v>0.7</v>
      </c>
      <c r="C56" s="108">
        <f>'SF and BM (Hogging)'!L22/$B$35</f>
        <v>0.55133797037069732</v>
      </c>
      <c r="D56" s="108">
        <f ca="1">'Normal Stress'!G19/$B$36</f>
        <v>0.75166763231625988</v>
      </c>
      <c r="E56" s="108">
        <f t="shared" ca="1" si="7"/>
        <v>0.41442290679459431</v>
      </c>
      <c r="F56" s="1">
        <f t="shared" ca="1" si="10"/>
        <v>13.497428423004731</v>
      </c>
      <c r="G56" s="1">
        <f t="shared" ca="1" si="10"/>
        <v>130.02392628523125</v>
      </c>
      <c r="H56" s="1">
        <f t="shared" ca="1" si="8"/>
        <v>-81.881908690819927</v>
      </c>
      <c r="I56" s="108">
        <f ca="1">H56*$B$36*(Prelude!$C$2^2)/($B$2*$B$3)</f>
        <v>0.12942349343659645</v>
      </c>
      <c r="J56" s="108">
        <f t="shared" ca="1" si="9"/>
        <v>129.42349343659646</v>
      </c>
    </row>
    <row r="57" spans="1:10" x14ac:dyDescent="0.35">
      <c r="A57" s="283">
        <v>15</v>
      </c>
      <c r="B57" s="108">
        <f t="shared" si="6"/>
        <v>0.75</v>
      </c>
      <c r="C57" s="108">
        <f>'SF and BM (Hogging)'!L23/$B$35</f>
        <v>0.37884527762407139</v>
      </c>
      <c r="D57" s="108">
        <f ca="1">'Normal Stress'!G20/$B$36</f>
        <v>0.57277207390719242</v>
      </c>
      <c r="E57" s="108">
        <f t="shared" ca="1" si="7"/>
        <v>0.21699199535468544</v>
      </c>
      <c r="F57" s="1">
        <f t="shared" ca="1" si="10"/>
        <v>14.12884332515401</v>
      </c>
      <c r="G57" s="1">
        <f t="shared" ca="1" si="10"/>
        <v>157.65019803338998</v>
      </c>
      <c r="H57" s="1">
        <f t="shared" ca="1" si="8"/>
        <v>-69.391768012379146</v>
      </c>
      <c r="I57" s="108">
        <f ca="1">H57*$B$36*(Prelude!$C$2^2)/($B$2*$B$3)</f>
        <v>0.10968143238838375</v>
      </c>
      <c r="J57" s="108">
        <f t="shared" ca="1" si="9"/>
        <v>109.68143238838375</v>
      </c>
    </row>
    <row r="58" spans="1:10" x14ac:dyDescent="0.35">
      <c r="A58" s="283">
        <v>16</v>
      </c>
      <c r="B58" s="108">
        <f t="shared" si="6"/>
        <v>0.8</v>
      </c>
      <c r="C58" s="108">
        <f>'SF and BM (Hogging)'!L24/$B$35</f>
        <v>0.22515765181759217</v>
      </c>
      <c r="D58" s="108">
        <f ca="1">'Normal Stress'!G21/$B$36</f>
        <v>0.40795504722422571</v>
      </c>
      <c r="E58" s="108">
        <f t="shared" ca="1" si="7"/>
        <v>9.185420048014159E-2</v>
      </c>
      <c r="F58" s="1">
        <f t="shared" ca="1" si="10"/>
        <v>14.437689520988837</v>
      </c>
      <c r="G58" s="1">
        <f t="shared" ca="1" si="10"/>
        <v>186.21673087953283</v>
      </c>
      <c r="H58" s="1">
        <f t="shared" ca="1" si="8"/>
        <v>-55.961366235954245</v>
      </c>
      <c r="I58" s="108">
        <f ca="1">H58*$B$36*(Prelude!$C$2^2)/($B$2*$B$3)</f>
        <v>8.8453183756255077E-2</v>
      </c>
      <c r="J58" s="108">
        <f t="shared" ca="1" si="9"/>
        <v>88.453183756255072</v>
      </c>
    </row>
    <row r="59" spans="1:10" x14ac:dyDescent="0.35">
      <c r="A59" s="283">
        <v>17</v>
      </c>
      <c r="B59" s="108">
        <f t="shared" si="6"/>
        <v>0.85</v>
      </c>
      <c r="C59" s="108">
        <f>'SF and BM (Hogging)'!L25/$B$35</f>
        <v>0.10805878559070738</v>
      </c>
      <c r="D59" s="108">
        <f ca="1">'Normal Stress'!G22/$B$36</f>
        <v>0.25435116593219881</v>
      </c>
      <c r="E59" s="108">
        <f t="shared" ca="1" si="7"/>
        <v>2.7484878104213906E-2</v>
      </c>
      <c r="F59" s="1">
        <f t="shared" ca="1" si="10"/>
        <v>14.557028599573192</v>
      </c>
      <c r="G59" s="1">
        <f t="shared" ca="1" si="10"/>
        <v>215.21144900009486</v>
      </c>
      <c r="H59" s="1">
        <f t="shared" ca="1" si="8"/>
        <v>-42.102779185110165</v>
      </c>
      <c r="I59" s="108">
        <f ca="1">H59*$B$36*(Prelude!$C$2^2)/($B$2*$B$3)</f>
        <v>6.6548140519072832E-2</v>
      </c>
      <c r="J59" s="108">
        <f t="shared" ca="1" si="9"/>
        <v>66.548140519072831</v>
      </c>
    </row>
    <row r="60" spans="1:10" x14ac:dyDescent="0.35">
      <c r="A60" s="283">
        <v>18</v>
      </c>
      <c r="B60" s="108">
        <f t="shared" si="6"/>
        <v>0.9</v>
      </c>
      <c r="C60" s="108">
        <f>'SF and BM (Hogging)'!L26/$B$35</f>
        <v>3.6236962342116423E-2</v>
      </c>
      <c r="D60" s="108">
        <f ca="1">'Normal Stress'!G23/$B$36</f>
        <v>0.10447650945311658</v>
      </c>
      <c r="E60" s="108">
        <f t="shared" ca="1" si="7"/>
        <v>3.7859113386883559E-3</v>
      </c>
      <c r="F60" s="1">
        <f t="shared" ref="F60:G62" ca="1" si="11">E60+E59+F59</f>
        <v>14.588299389016093</v>
      </c>
      <c r="G60" s="1">
        <f t="shared" ca="1" si="11"/>
        <v>244.35677698868415</v>
      </c>
      <c r="H60" s="1">
        <f t="shared" ca="1" si="8"/>
        <v>-28.093582266238798</v>
      </c>
      <c r="I60" s="108">
        <f ca="1">H60*$B$36*(Prelude!$C$2^2)/($B$2*$B$3)</f>
        <v>4.440504157974863E-2</v>
      </c>
      <c r="J60" s="108">
        <f t="shared" ca="1" si="9"/>
        <v>44.405041579748634</v>
      </c>
    </row>
    <row r="61" spans="1:10" x14ac:dyDescent="0.35">
      <c r="A61" s="283">
        <v>19</v>
      </c>
      <c r="B61" s="108">
        <f t="shared" si="6"/>
        <v>0.95</v>
      </c>
      <c r="C61" s="108">
        <f>'SF and BM (Hogging)'!L27/$B$35</f>
        <v>5.7015461911950858E-3</v>
      </c>
      <c r="D61" s="108">
        <f ca="1">'Normal Stress'!G24/$B$36</f>
        <v>5.6524824627484344E-2</v>
      </c>
      <c r="E61" s="108">
        <f t="shared" ca="1" si="7"/>
        <v>3.2227889856280354E-4</v>
      </c>
      <c r="F61" s="1">
        <f t="shared" ca="1" si="11"/>
        <v>14.592407579253344</v>
      </c>
      <c r="G61" s="1">
        <f t="shared" ca="1" si="11"/>
        <v>273.53748395695357</v>
      </c>
      <c r="H61" s="1">
        <f t="shared" ca="1" si="8"/>
        <v>-14.049006367687298</v>
      </c>
      <c r="I61" s="108">
        <f ca="1">H61*$B$36*(Prelude!$C$2^2)/($B$2*$B$3)</f>
        <v>2.2206022215294694E-2</v>
      </c>
      <c r="J61" s="108">
        <f t="shared" ca="1" si="9"/>
        <v>22.206022215294695</v>
      </c>
    </row>
    <row r="62" spans="1:10" x14ac:dyDescent="0.35">
      <c r="A62" s="283">
        <v>20</v>
      </c>
      <c r="B62" s="108">
        <f t="shared" si="6"/>
        <v>1</v>
      </c>
      <c r="C62" s="108">
        <f>'SF and BM (Hogging)'!L28/$B$35</f>
        <v>0</v>
      </c>
      <c r="D62" s="108">
        <f ca="1">'Normal Stress'!G25/$B$36</f>
        <v>0</v>
      </c>
      <c r="E62" s="108">
        <f t="shared" ca="1" si="7"/>
        <v>0</v>
      </c>
      <c r="F62" s="1">
        <f t="shared" ca="1" si="11"/>
        <v>14.592729858151907</v>
      </c>
      <c r="G62" s="1">
        <f t="shared" ca="1" si="11"/>
        <v>302.72262139435884</v>
      </c>
      <c r="H62" s="1">
        <f t="shared" ca="1" si="8"/>
        <v>0</v>
      </c>
      <c r="I62" s="108">
        <f ca="1">H62*$B$36*(Prelude!$C$2^2)/($B$2*$B$3)</f>
        <v>0</v>
      </c>
      <c r="J62" s="108">
        <f t="shared" ca="1" si="9"/>
        <v>0</v>
      </c>
    </row>
    <row r="63" spans="1:10" x14ac:dyDescent="0.35">
      <c r="I63" s="108"/>
    </row>
  </sheetData>
  <mergeCells count="2">
    <mergeCell ref="A8:J8"/>
    <mergeCell ref="A39:J3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D8D1-2952-4397-8E05-955FCCA3F2BE}">
  <dimension ref="A2:J62"/>
  <sheetViews>
    <sheetView zoomScale="60" zoomScaleNormal="60" workbookViewId="0">
      <selection activeCell="O6" sqref="O6"/>
    </sheetView>
  </sheetViews>
  <sheetFormatPr defaultRowHeight="14.5" x14ac:dyDescent="0.35"/>
  <cols>
    <col min="1" max="1" width="20.1796875" bestFit="1" customWidth="1"/>
    <col min="14" max="14" width="8.7265625" customWidth="1"/>
  </cols>
  <sheetData>
    <row r="2" spans="1:10" x14ac:dyDescent="0.35">
      <c r="A2" s="282" t="s">
        <v>596</v>
      </c>
      <c r="B2" s="1">
        <f>(2.1)*(10^11)</f>
        <v>210000000000</v>
      </c>
    </row>
    <row r="3" spans="1:10" x14ac:dyDescent="0.35">
      <c r="A3" s="282" t="s">
        <v>597</v>
      </c>
      <c r="B3" s="22">
        <f>'Secção Mestra'!D18</f>
        <v>110.14375751652545</v>
      </c>
    </row>
    <row r="4" spans="1:10" x14ac:dyDescent="0.35">
      <c r="A4" s="282" t="s">
        <v>598</v>
      </c>
      <c r="B4" s="1">
        <f ca="1">'Normal Stress'!H26</f>
        <v>1264751.9278859377</v>
      </c>
    </row>
    <row r="5" spans="1:10" x14ac:dyDescent="0.35">
      <c r="A5" s="282" t="s">
        <v>599</v>
      </c>
      <c r="B5" s="1">
        <f>MIN('SF and BM (Sagging)'!Y8:Y28,0)</f>
        <v>-31667.787018422434</v>
      </c>
    </row>
    <row r="8" spans="1:10" x14ac:dyDescent="0.35">
      <c r="A8" s="394" t="s">
        <v>600</v>
      </c>
      <c r="B8" s="394"/>
      <c r="C8" s="394"/>
      <c r="D8" s="394"/>
      <c r="E8" s="394"/>
      <c r="F8" s="394"/>
      <c r="G8" s="394"/>
      <c r="H8" s="394"/>
      <c r="I8" s="394"/>
      <c r="J8" s="394"/>
    </row>
    <row r="9" spans="1:10" x14ac:dyDescent="0.35">
      <c r="A9" s="283" t="s">
        <v>530</v>
      </c>
      <c r="B9" s="284" t="s">
        <v>601</v>
      </c>
      <c r="C9" s="284" t="s">
        <v>602</v>
      </c>
      <c r="D9" s="284" t="s">
        <v>603</v>
      </c>
      <c r="E9" s="284" t="s">
        <v>604</v>
      </c>
      <c r="F9" s="284" t="s">
        <v>605</v>
      </c>
      <c r="G9" s="284" t="s">
        <v>606</v>
      </c>
      <c r="H9" s="284" t="s">
        <v>607</v>
      </c>
      <c r="I9" s="284" t="s">
        <v>608</v>
      </c>
      <c r="J9" s="284" t="s">
        <v>609</v>
      </c>
    </row>
    <row r="10" spans="1:10" x14ac:dyDescent="0.35">
      <c r="A10" s="283" t="s">
        <v>2</v>
      </c>
      <c r="B10" s="284" t="s">
        <v>96</v>
      </c>
      <c r="C10" s="284" t="s">
        <v>97</v>
      </c>
      <c r="D10" s="284" t="s">
        <v>5</v>
      </c>
      <c r="E10" s="284" t="s">
        <v>98</v>
      </c>
      <c r="F10" s="284" t="s">
        <v>99</v>
      </c>
      <c r="G10" s="284" t="s">
        <v>100</v>
      </c>
      <c r="H10" s="284" t="s">
        <v>101</v>
      </c>
      <c r="I10" s="284"/>
      <c r="J10" s="284"/>
    </row>
    <row r="11" spans="1:10" x14ac:dyDescent="0.35">
      <c r="A11" s="283">
        <v>0</v>
      </c>
      <c r="B11" s="108">
        <f>A11/20</f>
        <v>0</v>
      </c>
      <c r="C11" s="108">
        <f>'SF and BM (Sagging)'!Y8/$B$5</f>
        <v>0</v>
      </c>
      <c r="D11" s="108">
        <f ca="1">'Normal Stress'!H5/$B$4</f>
        <v>0</v>
      </c>
      <c r="E11" s="108">
        <f ca="1">C11*D11</f>
        <v>0</v>
      </c>
      <c r="F11" s="108">
        <v>0</v>
      </c>
      <c r="G11" s="108">
        <v>0</v>
      </c>
      <c r="H11" s="1">
        <f ca="1">G11-$G$31*B11</f>
        <v>0</v>
      </c>
      <c r="I11" s="108">
        <f ca="1">H11*$B$4*(Prelude!$C$2^2)/($B$2*$B$3)</f>
        <v>0</v>
      </c>
      <c r="J11" s="108">
        <f ca="1">I11*1000</f>
        <v>0</v>
      </c>
    </row>
    <row r="12" spans="1:10" x14ac:dyDescent="0.35">
      <c r="A12" s="283">
        <v>1</v>
      </c>
      <c r="B12" s="108">
        <f t="shared" ref="B12:B31" si="0">A12/20</f>
        <v>0.05</v>
      </c>
      <c r="C12" s="108">
        <f>'SF and BM (Sagging)'!Y9/$B$5</f>
        <v>1.0674653725495982E-2</v>
      </c>
      <c r="D12" s="108">
        <f ca="1">'Normal Stress'!H6/$B$4</f>
        <v>6.2335025543215301E-2</v>
      </c>
      <c r="E12" s="108">
        <f t="shared" ref="E12:E31" ca="1" si="1">C12*D12</f>
        <v>6.6540481264377039E-4</v>
      </c>
      <c r="F12" s="1">
        <f ca="1">E12+E11+F11</f>
        <v>6.6540481264377039E-4</v>
      </c>
      <c r="G12" s="1">
        <f ca="1">F12+F11+G11</f>
        <v>6.6540481264377039E-4</v>
      </c>
      <c r="H12" s="1">
        <f t="shared" ref="H12:H31" ca="1" si="2">G12-$G$31*B12</f>
        <v>-15.318075703815127</v>
      </c>
      <c r="I12" s="108">
        <f ca="1">H12*$B$4*(Prelude!$C$2^2)/($B$2*$B$3)</f>
        <v>-2.9289610188188327E-2</v>
      </c>
      <c r="J12" s="108">
        <f t="shared" ref="J12:J31" ca="1" si="3">I12*1000</f>
        <v>-29.289610188188327</v>
      </c>
    </row>
    <row r="13" spans="1:10" x14ac:dyDescent="0.35">
      <c r="A13" s="283">
        <v>2</v>
      </c>
      <c r="B13" s="108">
        <f t="shared" si="0"/>
        <v>0.1</v>
      </c>
      <c r="C13" s="108">
        <f>'SF and BM (Sagging)'!Y10/$B$5</f>
        <v>5.2334874694060209E-2</v>
      </c>
      <c r="D13" s="108">
        <f ca="1">'Normal Stress'!H7/$B$4</f>
        <v>0.13338472633268089</v>
      </c>
      <c r="E13" s="108">
        <f t="shared" ca="1" si="1"/>
        <v>6.9806729387223675E-3</v>
      </c>
      <c r="F13" s="1">
        <f t="shared" ref="F13:G28" ca="1" si="4">E13+E12+F12</f>
        <v>8.3114825640099085E-3</v>
      </c>
      <c r="G13" s="1">
        <f t="shared" ca="1" si="4"/>
        <v>9.6422921892974477E-3</v>
      </c>
      <c r="H13" s="1">
        <f t="shared" ca="1" si="2"/>
        <v>-30.627839925066244</v>
      </c>
      <c r="I13" s="108">
        <f ca="1">H13*$B$4*(Prelude!$C$2^2)/($B$2*$B$3)</f>
        <v>-5.8563328035256733E-2</v>
      </c>
      <c r="J13" s="108">
        <f t="shared" ca="1" si="3"/>
        <v>-58.563328035256731</v>
      </c>
    </row>
    <row r="14" spans="1:10" x14ac:dyDescent="0.35">
      <c r="A14" s="283">
        <v>3</v>
      </c>
      <c r="B14" s="108">
        <f t="shared" si="0"/>
        <v>0.15</v>
      </c>
      <c r="C14" s="108">
        <f>'SF and BM (Sagging)'!Y11/$B$5</f>
        <v>0.13594018316832646</v>
      </c>
      <c r="D14" s="108">
        <f ca="1">'Normal Stress'!H8/$B$4</f>
        <v>0.30494150548735982</v>
      </c>
      <c r="E14" s="108">
        <f t="shared" ca="1" si="1"/>
        <v>4.1453804111576918E-2</v>
      </c>
      <c r="F14" s="1">
        <f t="shared" ca="1" si="4"/>
        <v>5.6745959614309192E-2</v>
      </c>
      <c r="G14" s="1">
        <f t="shared" ca="1" si="4"/>
        <v>7.4699734367616552E-2</v>
      </c>
      <c r="H14" s="1">
        <f t="shared" ca="1" si="2"/>
        <v>-45.881523591515688</v>
      </c>
      <c r="I14" s="108">
        <f ca="1">H14*$B$4*(Prelude!$C$2^2)/($B$2*$B$3)</f>
        <v>-8.7729814555033217E-2</v>
      </c>
      <c r="J14" s="108">
        <f t="shared" ca="1" si="3"/>
        <v>-87.729814555033215</v>
      </c>
    </row>
    <row r="15" spans="1:10" x14ac:dyDescent="0.35">
      <c r="A15" s="283">
        <v>4</v>
      </c>
      <c r="B15" s="108">
        <f t="shared" si="0"/>
        <v>0.2</v>
      </c>
      <c r="C15" s="108">
        <f>'SF and BM (Sagging)'!Y12/$B$5</f>
        <v>0.26166861206027892</v>
      </c>
      <c r="D15" s="108">
        <f ca="1">'Normal Stress'!H9/$B$4</f>
        <v>0.44408156723651721</v>
      </c>
      <c r="E15" s="108">
        <f t="shared" ca="1" si="1"/>
        <v>0.11620220734033289</v>
      </c>
      <c r="F15" s="1">
        <f t="shared" ca="1" si="4"/>
        <v>0.214401971066219</v>
      </c>
      <c r="G15" s="1">
        <f t="shared" ca="1" si="4"/>
        <v>0.34584766504814474</v>
      </c>
      <c r="H15" s="1">
        <f t="shared" ca="1" si="2"/>
        <v>-60.929116769462937</v>
      </c>
      <c r="I15" s="108">
        <f ca="1">H15*$B$4*(Prelude!$C$2^2)/($B$2*$B$3)</f>
        <v>-0.1165022365598903</v>
      </c>
      <c r="J15" s="108">
        <f t="shared" ca="1" si="3"/>
        <v>-116.50223655989029</v>
      </c>
    </row>
    <row r="16" spans="1:10" x14ac:dyDescent="0.35">
      <c r="A16" s="283">
        <v>5</v>
      </c>
      <c r="B16" s="108">
        <f t="shared" si="0"/>
        <v>0.25</v>
      </c>
      <c r="C16" s="108">
        <f>'SF and BM (Sagging)'!Y13/$B$5</f>
        <v>0.41911227807401624</v>
      </c>
      <c r="D16" s="108">
        <f ca="1">'Normal Stress'!H10/$B$4</f>
        <v>0.60400682503463288</v>
      </c>
      <c r="E16" s="108">
        <f t="shared" ca="1" si="1"/>
        <v>0.25314667641251876</v>
      </c>
      <c r="F16" s="1">
        <f t="shared" ca="1" si="4"/>
        <v>0.58375085481907063</v>
      </c>
      <c r="G16" s="1">
        <f t="shared" ca="1" si="4"/>
        <v>1.1440004909334345</v>
      </c>
      <c r="H16" s="1">
        <f t="shared" ca="1" si="2"/>
        <v>-75.449705052205417</v>
      </c>
      <c r="I16" s="108">
        <f ca="1">H16*$B$4*(Prelude!$C$2^2)/($B$2*$B$3)</f>
        <v>-0.14426697533832419</v>
      </c>
      <c r="J16" s="108">
        <f t="shared" ca="1" si="3"/>
        <v>-144.26697533832419</v>
      </c>
    </row>
    <row r="17" spans="1:10" x14ac:dyDescent="0.35">
      <c r="A17" s="283">
        <v>6</v>
      </c>
      <c r="B17" s="108">
        <f t="shared" si="0"/>
        <v>0.3</v>
      </c>
      <c r="C17" s="108">
        <f>'SF and BM (Sagging)'!Y14/$B$5</f>
        <v>0.59029044893591986</v>
      </c>
      <c r="D17" s="108">
        <f ca="1">'Normal Stress'!H11/$B$4</f>
        <v>0.85115982569105186</v>
      </c>
      <c r="E17" s="108">
        <f t="shared" ca="1" si="1"/>
        <v>0.50243151562339028</v>
      </c>
      <c r="F17" s="1">
        <f t="shared" ca="1" si="4"/>
        <v>1.3393290468549797</v>
      </c>
      <c r="G17" s="1">
        <f t="shared" ca="1" si="4"/>
        <v>3.067080392607485</v>
      </c>
      <c r="H17" s="1">
        <f t="shared" ca="1" si="2"/>
        <v>-88.845366259159135</v>
      </c>
      <c r="I17" s="108">
        <f ca="1">H17*$B$4*(Prelude!$C$2^2)/($B$2*$B$3)</f>
        <v>-0.16988074710385939</v>
      </c>
      <c r="J17" s="108">
        <f t="shared" ca="1" si="3"/>
        <v>-169.88074710385939</v>
      </c>
    </row>
    <row r="18" spans="1:10" x14ac:dyDescent="0.35">
      <c r="A18" s="283">
        <v>7</v>
      </c>
      <c r="B18" s="108">
        <f t="shared" si="0"/>
        <v>0.35</v>
      </c>
      <c r="C18" s="108">
        <f>'SF and BM (Sagging)'!Y15/$B$5</f>
        <v>0.75372017460594032</v>
      </c>
      <c r="D18" s="108">
        <f ca="1">'Normal Stress'!H12/$B$4</f>
        <v>0.92611698840139545</v>
      </c>
      <c r="E18" s="108">
        <f t="shared" ca="1" si="1"/>
        <v>0.69803305820342743</v>
      </c>
      <c r="F18" s="1">
        <f t="shared" ca="1" si="4"/>
        <v>2.5397936206817975</v>
      </c>
      <c r="G18" s="1">
        <f t="shared" ca="1" si="4"/>
        <v>6.9462030601442617</v>
      </c>
      <c r="H18" s="1">
        <f t="shared" ca="1" si="2"/>
        <v>-100.28498470025013</v>
      </c>
      <c r="I18" s="108">
        <f ca="1">H18*$B$4*(Prelude!$C$2^2)/($B$2*$B$3)</f>
        <v>-0.19175438001440281</v>
      </c>
      <c r="J18" s="108">
        <f t="shared" ca="1" si="3"/>
        <v>-191.75438001440281</v>
      </c>
    </row>
    <row r="19" spans="1:10" x14ac:dyDescent="0.35">
      <c r="A19" s="283">
        <v>8</v>
      </c>
      <c r="B19" s="108">
        <f t="shared" si="0"/>
        <v>0.4</v>
      </c>
      <c r="C19" s="108">
        <f>'SF and BM (Sagging)'!Y16/$B$5</f>
        <v>0.88787477582240359</v>
      </c>
      <c r="D19" s="108">
        <f ca="1">'Normal Stress'!H13/$B$4</f>
        <v>0.90118634348171145</v>
      </c>
      <c r="E19" s="108">
        <f t="shared" ca="1" si="1"/>
        <v>0.80014062269303621</v>
      </c>
      <c r="F19" s="1">
        <f t="shared" ca="1" si="4"/>
        <v>4.0379673015782611</v>
      </c>
      <c r="G19" s="1">
        <f t="shared" ca="1" si="4"/>
        <v>13.52396398240432</v>
      </c>
      <c r="H19" s="1">
        <f t="shared" ca="1" si="2"/>
        <v>-109.02596488661784</v>
      </c>
      <c r="I19" s="108">
        <f ca="1">H19*$B$4*(Prelude!$C$2^2)/($B$2*$B$3)</f>
        <v>-0.20846796122862957</v>
      </c>
      <c r="J19" s="108">
        <f t="shared" ca="1" si="3"/>
        <v>-208.46796122862958</v>
      </c>
    </row>
    <row r="20" spans="1:10" x14ac:dyDescent="0.35">
      <c r="A20" s="283">
        <v>9</v>
      </c>
      <c r="B20" s="108">
        <f t="shared" si="0"/>
        <v>0.45</v>
      </c>
      <c r="C20" s="108">
        <f>'SF and BM (Sagging)'!Y17/$B$5</f>
        <v>0.97419015623261596</v>
      </c>
      <c r="D20" s="108">
        <f ca="1">'Normal Stress'!H14/$B$4</f>
        <v>0.87289385381865658</v>
      </c>
      <c r="E20" s="108">
        <f t="shared" ca="1" si="1"/>
        <v>0.85036459982608725</v>
      </c>
      <c r="F20" s="1">
        <f t="shared" ca="1" si="4"/>
        <v>5.688472524097385</v>
      </c>
      <c r="G20" s="1">
        <f t="shared" ca="1" si="4"/>
        <v>23.250403808079966</v>
      </c>
      <c r="H20" s="1">
        <f t="shared" ca="1" si="2"/>
        <v>-114.61826616956998</v>
      </c>
      <c r="I20" s="108">
        <f ca="1">H20*$B$4*(Prelude!$C$2^2)/($B$2*$B$3)</f>
        <v>-0.21916097044203742</v>
      </c>
      <c r="J20" s="108">
        <f t="shared" ca="1" si="3"/>
        <v>-219.16097044203741</v>
      </c>
    </row>
    <row r="21" spans="1:10" x14ac:dyDescent="0.35">
      <c r="A21" s="283">
        <v>10</v>
      </c>
      <c r="B21" s="108">
        <f t="shared" si="0"/>
        <v>0.5</v>
      </c>
      <c r="C21" s="108">
        <f>'SF and BM (Sagging)'!Y18/$B$5</f>
        <v>1</v>
      </c>
      <c r="D21" s="108">
        <f ca="1">'Normal Stress'!H15/$B$4</f>
        <v>0.93695195548441668</v>
      </c>
      <c r="E21" s="108">
        <f t="shared" ca="1" si="1"/>
        <v>0.93695195548441668</v>
      </c>
      <c r="F21" s="1">
        <f t="shared" ca="1" si="4"/>
        <v>7.4757890794078889</v>
      </c>
      <c r="G21" s="1">
        <f t="shared" ca="1" si="4"/>
        <v>36.41466541158524</v>
      </c>
      <c r="H21" s="1">
        <f t="shared" ca="1" si="2"/>
        <v>-116.77274567469246</v>
      </c>
      <c r="I21" s="108">
        <f ca="1">H21*$B$4*(Prelude!$C$2^2)/($B$2*$B$3)</f>
        <v>-0.22328053911917625</v>
      </c>
      <c r="J21" s="108">
        <f t="shared" ca="1" si="3"/>
        <v>-223.28053911917624</v>
      </c>
    </row>
    <row r="22" spans="1:10" x14ac:dyDescent="0.35">
      <c r="A22" s="283">
        <v>11</v>
      </c>
      <c r="B22" s="108">
        <f t="shared" si="0"/>
        <v>0.55000000000000004</v>
      </c>
      <c r="C22" s="108">
        <f>'SF and BM (Sagging)'!Y19/$B$5</f>
        <v>0.96109165791194773</v>
      </c>
      <c r="D22" s="108">
        <f ca="1">'Normal Stress'!H16/$B$4</f>
        <v>1</v>
      </c>
      <c r="E22" s="108">
        <f t="shared" ca="1" si="1"/>
        <v>0.96109165791194773</v>
      </c>
      <c r="F22" s="1">
        <f t="shared" ca="1" si="4"/>
        <v>9.3738326928042532</v>
      </c>
      <c r="G22" s="1">
        <f t="shared" ca="1" si="4"/>
        <v>53.264287183797379</v>
      </c>
      <c r="H22" s="1">
        <f t="shared" ca="1" si="2"/>
        <v>-115.24186501110812</v>
      </c>
      <c r="I22" s="108">
        <f ca="1">H22*$B$4*(Prelude!$C$2^2)/($B$2*$B$3)</f>
        <v>-0.22035335043386034</v>
      </c>
      <c r="J22" s="108">
        <f t="shared" ca="1" si="3"/>
        <v>-220.35335043386033</v>
      </c>
    </row>
    <row r="23" spans="1:10" x14ac:dyDescent="0.35">
      <c r="A23" s="283">
        <v>12</v>
      </c>
      <c r="B23" s="108">
        <f t="shared" si="0"/>
        <v>0.6</v>
      </c>
      <c r="C23" s="108">
        <f>'SF and BM (Sagging)'!Y20/$B$5</f>
        <v>0.8628145442065539</v>
      </c>
      <c r="D23" s="108">
        <f ca="1">'Normal Stress'!H17/$B$4</f>
        <v>0.96865391090004438</v>
      </c>
      <c r="E23" s="108">
        <f t="shared" ca="1" si="1"/>
        <v>0.83576868262711768</v>
      </c>
      <c r="F23" s="1">
        <f t="shared" ca="1" si="4"/>
        <v>11.170693033343319</v>
      </c>
      <c r="G23" s="1">
        <f t="shared" ca="1" si="4"/>
        <v>73.808812909944947</v>
      </c>
      <c r="H23" s="1">
        <f t="shared" ca="1" si="2"/>
        <v>-110.01608039358828</v>
      </c>
      <c r="I23" s="108">
        <f ca="1">H23*$B$4*(Prelude!$C$2^2)/($B$2*$B$3)</f>
        <v>-0.21036115576567069</v>
      </c>
      <c r="J23" s="108">
        <f t="shared" ca="1" si="3"/>
        <v>-210.36115576567067</v>
      </c>
    </row>
    <row r="24" spans="1:10" x14ac:dyDescent="0.35">
      <c r="A24" s="283">
        <v>13</v>
      </c>
      <c r="B24" s="108">
        <f t="shared" si="0"/>
        <v>0.65</v>
      </c>
      <c r="C24" s="108">
        <f>'SF and BM (Sagging)'!Y21/$B$5</f>
        <v>0.71897093378961552</v>
      </c>
      <c r="D24" s="108">
        <f ca="1">'Normal Stress'!H18/$B$4</f>
        <v>0.93648503472908617</v>
      </c>
      <c r="E24" s="108">
        <f t="shared" ca="1" si="1"/>
        <v>0.67330551989917165</v>
      </c>
      <c r="F24" s="1">
        <f t="shared" ca="1" si="4"/>
        <v>12.679767235869608</v>
      </c>
      <c r="G24" s="1">
        <f t="shared" ca="1" si="4"/>
        <v>97.659273179157879</v>
      </c>
      <c r="H24" s="1">
        <f t="shared" ca="1" si="2"/>
        <v>-101.48436123300314</v>
      </c>
      <c r="I24" s="108">
        <f ca="1">H24*$B$4*(Prelude!$C$2^2)/($B$2*$B$3)</f>
        <v>-0.19404770143364916</v>
      </c>
      <c r="J24" s="108">
        <f t="shared" ca="1" si="3"/>
        <v>-194.04770143364917</v>
      </c>
    </row>
    <row r="25" spans="1:10" x14ac:dyDescent="0.35">
      <c r="A25" s="283">
        <v>14</v>
      </c>
      <c r="B25" s="108">
        <f t="shared" si="0"/>
        <v>0.7</v>
      </c>
      <c r="C25" s="108">
        <f>'SF and BM (Sagging)'!Y22/$B$5</f>
        <v>0.54924623034055675</v>
      </c>
      <c r="D25" s="108">
        <f ca="1">'Normal Stress'!H19/$B$4</f>
        <v>0.99327104507107422</v>
      </c>
      <c r="E25" s="108">
        <f t="shared" ca="1" si="1"/>
        <v>0.54555037721171273</v>
      </c>
      <c r="F25" s="1">
        <f t="shared" ca="1" si="4"/>
        <v>13.898623132980493</v>
      </c>
      <c r="G25" s="1">
        <f t="shared" ca="1" si="4"/>
        <v>124.23766354800799</v>
      </c>
      <c r="H25" s="1">
        <f t="shared" ca="1" si="2"/>
        <v>-90.224711972780796</v>
      </c>
      <c r="I25" s="108">
        <f ca="1">H25*$B$4*(Prelude!$C$2^2)/($B$2*$B$3)</f>
        <v>-0.17251818662615298</v>
      </c>
      <c r="J25" s="108">
        <f t="shared" ca="1" si="3"/>
        <v>-172.51818662615298</v>
      </c>
    </row>
    <row r="26" spans="1:10" x14ac:dyDescent="0.35">
      <c r="A26" s="283">
        <v>15</v>
      </c>
      <c r="B26" s="108">
        <f t="shared" si="0"/>
        <v>0.75</v>
      </c>
      <c r="C26" s="108">
        <f>'SF and BM (Sagging)'!Y23/$B$5</f>
        <v>0.3761854691483853</v>
      </c>
      <c r="D26" s="108">
        <f ca="1">'Normal Stress'!H20/$B$4</f>
        <v>0.87515316242448704</v>
      </c>
      <c r="E26" s="108">
        <f t="shared" ca="1" si="1"/>
        <v>0.32921990298334869</v>
      </c>
      <c r="F26" s="1">
        <f t="shared" ca="1" si="4"/>
        <v>14.773393413175555</v>
      </c>
      <c r="G26" s="1">
        <f t="shared" ca="1" si="4"/>
        <v>152.90968009416403</v>
      </c>
      <c r="H26" s="1">
        <f t="shared" ca="1" si="2"/>
        <v>-76.871436535252514</v>
      </c>
      <c r="I26" s="108">
        <f ca="1">H26*$B$4*(Prelude!$C$2^2)/($B$2*$B$3)</f>
        <v>-0.14698546046242847</v>
      </c>
      <c r="J26" s="108">
        <f t="shared" ca="1" si="3"/>
        <v>-146.98546046242848</v>
      </c>
    </row>
    <row r="27" spans="1:10" x14ac:dyDescent="0.35">
      <c r="A27" s="283">
        <v>16</v>
      </c>
      <c r="B27" s="108">
        <f t="shared" si="0"/>
        <v>0.8</v>
      </c>
      <c r="C27" s="108">
        <f>'SF and BM (Sagging)'!Y24/$B$5</f>
        <v>0.22198133644012108</v>
      </c>
      <c r="D27" s="108">
        <f ca="1">'Normal Stress'!H21/$B$4</f>
        <v>0.63945600742977327</v>
      </c>
      <c r="E27" s="108">
        <f t="shared" ca="1" si="1"/>
        <v>0.14194729912392506</v>
      </c>
      <c r="F27" s="1">
        <f t="shared" ca="1" si="4"/>
        <v>15.244560615282829</v>
      </c>
      <c r="G27" s="1">
        <f t="shared" ca="1" si="4"/>
        <v>182.92763412262241</v>
      </c>
      <c r="H27" s="1">
        <f t="shared" ca="1" si="2"/>
        <v>-62.172223615421927</v>
      </c>
      <c r="I27" s="108">
        <f ca="1">H27*$B$4*(Prelude!$C$2^2)/($B$2*$B$3)</f>
        <v>-0.11887917447588053</v>
      </c>
      <c r="J27" s="108">
        <f t="shared" ca="1" si="3"/>
        <v>-118.87917447588053</v>
      </c>
    </row>
    <row r="28" spans="1:10" x14ac:dyDescent="0.35">
      <c r="A28" s="283">
        <v>17</v>
      </c>
      <c r="B28" s="108">
        <f t="shared" si="0"/>
        <v>0.85</v>
      </c>
      <c r="C28" s="108">
        <f>'SF and BM (Sagging)'!Y25/$B$5</f>
        <v>0.10461772316699863</v>
      </c>
      <c r="D28" s="108">
        <f ca="1">'Normal Stress'!H22/$B$4</f>
        <v>0.36585080403586995</v>
      </c>
      <c r="E28" s="108">
        <f t="shared" ca="1" si="1"/>
        <v>3.8274478137048505E-2</v>
      </c>
      <c r="F28" s="1">
        <f t="shared" ca="1" si="4"/>
        <v>15.424782392543802</v>
      </c>
      <c r="G28" s="1">
        <f t="shared" ca="1" si="4"/>
        <v>213.59697713044903</v>
      </c>
      <c r="H28" s="1">
        <f t="shared" ca="1" si="2"/>
        <v>-46.821621716223035</v>
      </c>
      <c r="I28" s="108">
        <f ca="1">H28*$B$4*(Prelude!$C$2^2)/($B$2*$B$3)</f>
        <v>-8.9527371124391811E-2</v>
      </c>
      <c r="J28" s="108">
        <f t="shared" ca="1" si="3"/>
        <v>-89.527371124391806</v>
      </c>
    </row>
    <row r="29" spans="1:10" x14ac:dyDescent="0.35">
      <c r="A29" s="283">
        <v>18</v>
      </c>
      <c r="B29" s="108">
        <f t="shared" si="0"/>
        <v>0.9</v>
      </c>
      <c r="C29" s="108">
        <f>'SF and BM (Sagging)'!Y26/$B$5</f>
        <v>3.3081134465733693E-2</v>
      </c>
      <c r="D29" s="108">
        <f ca="1">'Normal Stress'!H23/$B$4</f>
        <v>0.13946113778745098</v>
      </c>
      <c r="E29" s="108">
        <f t="shared" ca="1" si="1"/>
        <v>4.6135326518908799E-3</v>
      </c>
      <c r="F29" s="1">
        <f t="shared" ref="F29:G31" ca="1" si="5">E29+E28+F28</f>
        <v>15.467670403332741</v>
      </c>
      <c r="G29" s="1">
        <f t="shared" ca="1" si="5"/>
        <v>244.48942992632558</v>
      </c>
      <c r="H29" s="1">
        <f t="shared" ca="1" si="2"/>
        <v>-31.247910028974303</v>
      </c>
      <c r="I29" s="108">
        <f ca="1">H29*$B$4*(Prelude!$C$2^2)/($B$2*$B$3)</f>
        <v>-5.9748960746831149E-2</v>
      </c>
      <c r="J29" s="108">
        <f t="shared" ca="1" si="3"/>
        <v>-59.748960746831152</v>
      </c>
    </row>
    <row r="30" spans="1:10" x14ac:dyDescent="0.35">
      <c r="A30" s="283">
        <v>19</v>
      </c>
      <c r="B30" s="108">
        <f t="shared" si="0"/>
        <v>0.95</v>
      </c>
      <c r="C30" s="108">
        <f>'SF and BM (Sagging)'!Y27/$B$5</f>
        <v>3.6528878220981236E-3</v>
      </c>
      <c r="D30" s="108">
        <f ca="1">'Normal Stress'!H24/$B$4</f>
        <v>5.9544323941576958E-2</v>
      </c>
      <c r="E30" s="108">
        <f t="shared" ca="1" si="1"/>
        <v>2.1750873580125222E-4</v>
      </c>
      <c r="F30" s="1">
        <f t="shared" ca="1" si="5"/>
        <v>15.472501444720434</v>
      </c>
      <c r="G30" s="1">
        <f t="shared" ca="1" si="5"/>
        <v>275.42960177437874</v>
      </c>
      <c r="H30" s="1">
        <f t="shared" ca="1" si="2"/>
        <v>-15.626479289548911</v>
      </c>
      <c r="I30" s="108">
        <f ca="1">H30*$B$4*(Prelude!$C$2^2)/($B$2*$B$3)</f>
        <v>-2.9879307026188174E-2</v>
      </c>
      <c r="J30" s="108">
        <f t="shared" ca="1" si="3"/>
        <v>-29.879307026188172</v>
      </c>
    </row>
    <row r="31" spans="1:10" x14ac:dyDescent="0.35">
      <c r="A31" s="283">
        <v>20</v>
      </c>
      <c r="B31" s="108">
        <f t="shared" si="0"/>
        <v>1</v>
      </c>
      <c r="C31" s="108">
        <f>'SF and BM (Sagging)'!Y28/$B$5</f>
        <v>0</v>
      </c>
      <c r="D31" s="108">
        <f ca="1">'Normal Stress'!H25/$B$4</f>
        <v>0</v>
      </c>
      <c r="E31" s="108">
        <f t="shared" ca="1" si="1"/>
        <v>0</v>
      </c>
      <c r="F31" s="1">
        <f ca="1">E31+E30+F30</f>
        <v>15.472718953456235</v>
      </c>
      <c r="G31" s="1">
        <f t="shared" ca="1" si="5"/>
        <v>306.37482217255541</v>
      </c>
      <c r="H31" s="1">
        <f t="shared" ca="1" si="2"/>
        <v>0</v>
      </c>
      <c r="I31" s="108">
        <f ca="1">H31*$B$4*(Prelude!$C$2^2)/($B$2*$B$3)</f>
        <v>0</v>
      </c>
      <c r="J31" s="108">
        <f t="shared" ca="1" si="3"/>
        <v>0</v>
      </c>
    </row>
    <row r="35" spans="1:10" x14ac:dyDescent="0.35">
      <c r="A35" s="283" t="s">
        <v>599</v>
      </c>
      <c r="B35" s="1">
        <f>LARGE('SF and BM (Hogging)'!Y8:Y28,1)</f>
        <v>30312.714445129586</v>
      </c>
    </row>
    <row r="36" spans="1:10" x14ac:dyDescent="0.35">
      <c r="A36" s="283" t="s">
        <v>610</v>
      </c>
      <c r="B36" s="108">
        <f ca="1">'Normal Stress'!I26</f>
        <v>-723161.49063646921</v>
      </c>
    </row>
    <row r="39" spans="1:10" x14ac:dyDescent="0.35">
      <c r="A39" s="394" t="s">
        <v>595</v>
      </c>
      <c r="B39" s="394"/>
      <c r="C39" s="394"/>
      <c r="D39" s="394"/>
      <c r="E39" s="394"/>
      <c r="F39" s="394"/>
      <c r="G39" s="394"/>
      <c r="H39" s="394"/>
      <c r="I39" s="394"/>
      <c r="J39" s="394"/>
    </row>
    <row r="40" spans="1:10" x14ac:dyDescent="0.35">
      <c r="A40" s="283" t="s">
        <v>530</v>
      </c>
      <c r="B40" s="284" t="s">
        <v>601</v>
      </c>
      <c r="C40" s="284" t="s">
        <v>602</v>
      </c>
      <c r="D40" s="284" t="s">
        <v>603</v>
      </c>
      <c r="E40" s="284" t="s">
        <v>604</v>
      </c>
      <c r="F40" s="284" t="s">
        <v>605</v>
      </c>
      <c r="G40" s="284" t="s">
        <v>606</v>
      </c>
      <c r="H40" s="284" t="s">
        <v>607</v>
      </c>
      <c r="I40" s="284" t="s">
        <v>608</v>
      </c>
      <c r="J40" s="284" t="s">
        <v>611</v>
      </c>
    </row>
    <row r="41" spans="1:10" x14ac:dyDescent="0.35">
      <c r="A41" s="283" t="s">
        <v>2</v>
      </c>
      <c r="B41" s="284" t="s">
        <v>96</v>
      </c>
      <c r="C41" s="284" t="s">
        <v>97</v>
      </c>
      <c r="D41" s="284" t="s">
        <v>5</v>
      </c>
      <c r="E41" s="284" t="s">
        <v>98</v>
      </c>
      <c r="F41" s="284" t="s">
        <v>99</v>
      </c>
      <c r="G41" s="284" t="s">
        <v>100</v>
      </c>
      <c r="H41" s="284" t="s">
        <v>101</v>
      </c>
      <c r="I41" s="284"/>
      <c r="J41" s="284"/>
    </row>
    <row r="42" spans="1:10" x14ac:dyDescent="0.35">
      <c r="A42" s="283">
        <v>0</v>
      </c>
      <c r="B42" s="108">
        <f>A42/20</f>
        <v>0</v>
      </c>
      <c r="C42" s="108">
        <f>'SF and BM (Hogging)'!Y8/$B$35</f>
        <v>0</v>
      </c>
      <c r="D42" s="108">
        <f ca="1">'Normal Stress'!I5/$B$36</f>
        <v>0</v>
      </c>
      <c r="E42" s="108">
        <f ca="1">C42*D42</f>
        <v>0</v>
      </c>
      <c r="F42" s="108">
        <v>0</v>
      </c>
      <c r="G42" s="108">
        <v>0</v>
      </c>
      <c r="H42" s="1">
        <f ca="1">G42-$G$62*B42</f>
        <v>0</v>
      </c>
      <c r="I42" s="108">
        <f ca="1">H42*$B$36*(Prelude!$C$2^2)/($B$2*$B$3)</f>
        <v>0</v>
      </c>
      <c r="J42" s="108">
        <f ca="1">I42*1000</f>
        <v>0</v>
      </c>
    </row>
    <row r="43" spans="1:10" x14ac:dyDescent="0.35">
      <c r="A43" s="283">
        <v>1</v>
      </c>
      <c r="B43" s="108">
        <f t="shared" ref="B43:B62" si="6">A43/20</f>
        <v>0.05</v>
      </c>
      <c r="C43" s="108">
        <f>'SF and BM (Hogging)'!Y9/$B$35</f>
        <v>1.3421068545625237E-2</v>
      </c>
      <c r="D43" s="108">
        <f ca="1">'Normal Stress'!I6/$B$36</f>
        <v>7.762681099606622E-2</v>
      </c>
      <c r="E43" s="108">
        <f t="shared" ref="E43:E62" ca="1" si="7">C43*D43</f>
        <v>1.0418347513564995E-3</v>
      </c>
      <c r="F43" s="1">
        <f ca="1">E43+E42+F42</f>
        <v>1.0418347513564995E-3</v>
      </c>
      <c r="G43" s="1">
        <f ca="1">F43+F42+G42</f>
        <v>1.0418347513564995E-3</v>
      </c>
      <c r="H43" s="1">
        <f t="shared" ref="H43:H62" ca="1" si="8">G43-$G$62*B43</f>
        <v>-14.733075603124963</v>
      </c>
      <c r="I43" s="108">
        <f ca="1">H43*$B$36*(Prelude!$C$2^2)/($B$2*$B$3)</f>
        <v>1.6107670567422249E-2</v>
      </c>
      <c r="J43" s="108">
        <f t="shared" ref="J43:J62" ca="1" si="9">I43*1000</f>
        <v>16.10767056742225</v>
      </c>
    </row>
    <row r="44" spans="1:10" x14ac:dyDescent="0.35">
      <c r="A44" s="283">
        <v>2</v>
      </c>
      <c r="B44" s="108">
        <f t="shared" si="6"/>
        <v>0.1</v>
      </c>
      <c r="C44" s="108">
        <f>'SF and BM (Hogging)'!Y10/$B$35</f>
        <v>5.1389037269251064E-2</v>
      </c>
      <c r="D44" s="108">
        <f ca="1">'Normal Stress'!I7/$B$36</f>
        <v>0.14001234813932492</v>
      </c>
      <c r="E44" s="108">
        <f t="shared" ca="1" si="7"/>
        <v>7.1950997766871234E-3</v>
      </c>
      <c r="F44" s="1">
        <f t="shared" ref="F44:G59" ca="1" si="10">E44+E43+F43</f>
        <v>9.278769279400122E-3</v>
      </c>
      <c r="G44" s="1">
        <f t="shared" ca="1" si="10"/>
        <v>1.1362438782113122E-2</v>
      </c>
      <c r="H44" s="1">
        <f t="shared" ca="1" si="8"/>
        <v>-29.456872436970524</v>
      </c>
      <c r="I44" s="108">
        <f ca="1">H44*$B$36*(Prelude!$C$2^2)/($B$2*$B$3)</f>
        <v>3.220519665701449E-2</v>
      </c>
      <c r="J44" s="108">
        <f t="shared" ca="1" si="9"/>
        <v>32.20519665701449</v>
      </c>
    </row>
    <row r="45" spans="1:10" x14ac:dyDescent="0.35">
      <c r="A45" s="283">
        <v>3</v>
      </c>
      <c r="B45" s="108">
        <f t="shared" si="6"/>
        <v>0.15</v>
      </c>
      <c r="C45" s="108">
        <f>'SF and BM (Hogging)'!Y11/$B$35</f>
        <v>0.12796416392892299</v>
      </c>
      <c r="D45" s="108">
        <f ca="1">'Normal Stress'!I8/$B$36</f>
        <v>0.36880298923697952</v>
      </c>
      <c r="E45" s="108">
        <f t="shared" ca="1" si="7"/>
        <v>4.7193566172197665E-2</v>
      </c>
      <c r="F45" s="1">
        <f t="shared" ca="1" si="10"/>
        <v>6.3667435228284913E-2</v>
      </c>
      <c r="G45" s="1">
        <f t="shared" ca="1" si="10"/>
        <v>8.430864328979816E-2</v>
      </c>
      <c r="H45" s="1">
        <f t="shared" ca="1" si="8"/>
        <v>-44.118043670339162</v>
      </c>
      <c r="I45" s="108">
        <f ca="1">H45*$B$36*(Prelude!$C$2^2)/($B$2*$B$3)</f>
        <v>4.8234254181811258E-2</v>
      </c>
      <c r="J45" s="108">
        <f t="shared" ca="1" si="9"/>
        <v>48.234254181811259</v>
      </c>
    </row>
    <row r="46" spans="1:10" x14ac:dyDescent="0.35">
      <c r="A46" s="283">
        <v>4</v>
      </c>
      <c r="B46" s="108">
        <f t="shared" si="6"/>
        <v>0.2</v>
      </c>
      <c r="C46" s="108">
        <f>'SF and BM (Hogging)'!Y12/$B$35</f>
        <v>0.24722326998402414</v>
      </c>
      <c r="D46" s="108">
        <f ca="1">'Normal Stress'!I9/$B$36</f>
        <v>0.65428789069725846</v>
      </c>
      <c r="E46" s="108">
        <f t="shared" ca="1" si="7"/>
        <v>0.16175519184912601</v>
      </c>
      <c r="F46" s="1">
        <f t="shared" ca="1" si="10"/>
        <v>0.27261619324960862</v>
      </c>
      <c r="G46" s="1">
        <f t="shared" ca="1" si="10"/>
        <v>0.42059227176769165</v>
      </c>
      <c r="H46" s="1">
        <f t="shared" ca="1" si="8"/>
        <v>-58.51587747973759</v>
      </c>
      <c r="I46" s="108">
        <f ca="1">H46*$B$36*(Prelude!$C$2^2)/($B$2*$B$3)</f>
        <v>6.3975404918667142E-2</v>
      </c>
      <c r="J46" s="108">
        <f t="shared" ca="1" si="9"/>
        <v>63.975404918667145</v>
      </c>
    </row>
    <row r="47" spans="1:10" x14ac:dyDescent="0.35">
      <c r="A47" s="283">
        <v>5</v>
      </c>
      <c r="B47" s="108">
        <f t="shared" si="6"/>
        <v>0.25</v>
      </c>
      <c r="C47" s="108">
        <f>'SF and BM (Hogging)'!Y13/$B$35</f>
        <v>0.40117374051400639</v>
      </c>
      <c r="D47" s="108">
        <f ca="1">'Normal Stress'!I10/$B$36</f>
        <v>0.90342113749286346</v>
      </c>
      <c r="E47" s="108">
        <f t="shared" ca="1" si="7"/>
        <v>0.3624288369874305</v>
      </c>
      <c r="F47" s="1">
        <f t="shared" ca="1" si="10"/>
        <v>0.79680022208616508</v>
      </c>
      <c r="G47" s="1">
        <f t="shared" ca="1" si="10"/>
        <v>1.4900086871034652</v>
      </c>
      <c r="H47" s="1">
        <f t="shared" ca="1" si="8"/>
        <v>-72.180578502278124</v>
      </c>
      <c r="I47" s="108">
        <f ca="1">H47*$B$36*(Prelude!$C$2^2)/($B$2*$B$3)</f>
        <v>7.891502162888854E-2</v>
      </c>
      <c r="J47" s="108">
        <f t="shared" ca="1" si="9"/>
        <v>78.915021628888539</v>
      </c>
    </row>
    <row r="48" spans="1:10" x14ac:dyDescent="0.35">
      <c r="A48" s="283">
        <v>6</v>
      </c>
      <c r="B48" s="108">
        <f t="shared" si="6"/>
        <v>0.3</v>
      </c>
      <c r="C48" s="108">
        <f>'SF and BM (Hogging)'!Y14/$B$35</f>
        <v>0.57245879177504289</v>
      </c>
      <c r="D48" s="108">
        <f ca="1">'Normal Stress'!I11/$B$36</f>
        <v>1</v>
      </c>
      <c r="E48" s="108">
        <f t="shared" ca="1" si="7"/>
        <v>0.57245879177504289</v>
      </c>
      <c r="F48" s="1">
        <f t="shared" ca="1" si="10"/>
        <v>1.7316878508486386</v>
      </c>
      <c r="G48" s="1">
        <f t="shared" ca="1" si="10"/>
        <v>4.0184967600382695</v>
      </c>
      <c r="H48" s="1">
        <f t="shared" ca="1" si="8"/>
        <v>-84.386207867219639</v>
      </c>
      <c r="I48" s="108">
        <f ca="1">H48*$B$36*(Prelude!$C$2^2)/($B$2*$B$3)</f>
        <v>9.225943539384826E-2</v>
      </c>
      <c r="J48" s="108">
        <f t="shared" ca="1" si="9"/>
        <v>92.259435393848264</v>
      </c>
    </row>
    <row r="49" spans="1:10" x14ac:dyDescent="0.35">
      <c r="A49" s="283">
        <v>7</v>
      </c>
      <c r="B49" s="108">
        <f t="shared" si="6"/>
        <v>0.35</v>
      </c>
      <c r="C49" s="108">
        <f>'SF and BM (Hogging)'!Y15/$B$35</f>
        <v>0.73895033346765804</v>
      </c>
      <c r="D49" s="108">
        <f ca="1">'Normal Stress'!I12/$B$36</f>
        <v>0.86890588440580585</v>
      </c>
      <c r="E49" s="108">
        <f t="shared" ca="1" si="7"/>
        <v>0.64207829303368058</v>
      </c>
      <c r="F49" s="1">
        <f t="shared" ca="1" si="10"/>
        <v>2.9462249356573622</v>
      </c>
      <c r="G49" s="1">
        <f t="shared" ca="1" si="10"/>
        <v>8.6964095465442703</v>
      </c>
      <c r="H49" s="1">
        <f t="shared" ca="1" si="8"/>
        <v>-94.442412518589947</v>
      </c>
      <c r="I49" s="108">
        <f ca="1">H49*$B$36*(Prelude!$C$2^2)/($B$2*$B$3)</f>
        <v>0.1032538832638161</v>
      </c>
      <c r="J49" s="108">
        <f t="shared" ca="1" si="9"/>
        <v>103.25388326381609</v>
      </c>
    </row>
    <row r="50" spans="1:10" x14ac:dyDescent="0.35">
      <c r="A50" s="283">
        <v>8</v>
      </c>
      <c r="B50" s="108">
        <f t="shared" si="6"/>
        <v>0.4</v>
      </c>
      <c r="C50" s="108">
        <f>'SF and BM (Hogging)'!Y16/$B$35</f>
        <v>0.87790397592570324</v>
      </c>
      <c r="D50" s="108">
        <f ca="1">'Normal Stress'!I13/$B$36</f>
        <v>0.91250759942226645</v>
      </c>
      <c r="E50" s="108">
        <f t="shared" ca="1" si="7"/>
        <v>0.80109404959522668</v>
      </c>
      <c r="F50" s="1">
        <f t="shared" ca="1" si="10"/>
        <v>4.3893972782862694</v>
      </c>
      <c r="G50" s="1">
        <f t="shared" ca="1" si="10"/>
        <v>16.032031760487904</v>
      </c>
      <c r="H50" s="1">
        <f t="shared" ca="1" si="8"/>
        <v>-101.84090774252266</v>
      </c>
      <c r="I50" s="108">
        <f ca="1">H50*$B$36*(Prelude!$C$2^2)/($B$2*$B$3)</f>
        <v>0.11134265759525834</v>
      </c>
      <c r="J50" s="108">
        <f t="shared" ca="1" si="9"/>
        <v>111.34265759525834</v>
      </c>
    </row>
    <row r="51" spans="1:10" x14ac:dyDescent="0.35">
      <c r="A51" s="283">
        <v>9</v>
      </c>
      <c r="B51" s="108">
        <f t="shared" si="6"/>
        <v>0.45</v>
      </c>
      <c r="C51" s="108">
        <f>'SF and BM (Hogging)'!Y17/$B$35</f>
        <v>0.96948691051704594</v>
      </c>
      <c r="D51" s="108">
        <f ca="1">'Normal Stress'!I14/$B$36</f>
        <v>0.96198891349852922</v>
      </c>
      <c r="E51" s="108">
        <f t="shared" ca="1" si="7"/>
        <v>0.93263565969933881</v>
      </c>
      <c r="F51" s="1">
        <f t="shared" ca="1" si="10"/>
        <v>6.123126987580835</v>
      </c>
      <c r="G51" s="1">
        <f t="shared" ca="1" si="10"/>
        <v>26.544556026355007</v>
      </c>
      <c r="H51" s="1">
        <f t="shared" ca="1" si="8"/>
        <v>-106.06250091453187</v>
      </c>
      <c r="I51" s="108">
        <f ca="1">H51*$B$36*(Prelude!$C$2^2)/($B$2*$B$3)</f>
        <v>0.11595812512669355</v>
      </c>
      <c r="J51" s="108">
        <f t="shared" ca="1" si="9"/>
        <v>115.95812512669356</v>
      </c>
    </row>
    <row r="52" spans="1:10" x14ac:dyDescent="0.35">
      <c r="A52" s="283">
        <v>10</v>
      </c>
      <c r="B52" s="108">
        <f t="shared" si="6"/>
        <v>0.5</v>
      </c>
      <c r="C52" s="108">
        <f>'SF and BM (Hogging)'!Y18/$B$35</f>
        <v>1</v>
      </c>
      <c r="D52" s="108">
        <f ca="1">'Normal Stress'!I15/$B$36</f>
        <v>0.84995638877548529</v>
      </c>
      <c r="E52" s="108">
        <f t="shared" ca="1" si="7"/>
        <v>0.84995638877548529</v>
      </c>
      <c r="F52" s="1">
        <f t="shared" ca="1" si="10"/>
        <v>7.9057190360556593</v>
      </c>
      <c r="G52" s="1">
        <f t="shared" ca="1" si="10"/>
        <v>40.5734020499915</v>
      </c>
      <c r="H52" s="1">
        <f t="shared" ca="1" si="8"/>
        <v>-106.76777232877168</v>
      </c>
      <c r="I52" s="108">
        <f ca="1">H52*$B$36*(Prelude!$C$2^2)/($B$2*$B$3)</f>
        <v>0.11672919831651586</v>
      </c>
      <c r="J52" s="108">
        <f t="shared" ca="1" si="9"/>
        <v>116.72919831651586</v>
      </c>
    </row>
    <row r="53" spans="1:10" x14ac:dyDescent="0.35">
      <c r="A53" s="283">
        <v>11</v>
      </c>
      <c r="B53" s="108">
        <f t="shared" si="6"/>
        <v>0.55000000000000004</v>
      </c>
      <c r="C53" s="108">
        <f>'SF and BM (Hogging)'!Y19/$B$35</f>
        <v>0.9645734170649195</v>
      </c>
      <c r="D53" s="108">
        <f ca="1">'Normal Stress'!I16/$B$36</f>
        <v>0.73969037366959045</v>
      </c>
      <c r="E53" s="108">
        <f t="shared" ca="1" si="7"/>
        <v>0.713485671300504</v>
      </c>
      <c r="F53" s="1">
        <f t="shared" ca="1" si="10"/>
        <v>9.4691610961316481</v>
      </c>
      <c r="G53" s="1">
        <f t="shared" ca="1" si="10"/>
        <v>57.948282182178808</v>
      </c>
      <c r="H53" s="1">
        <f t="shared" ca="1" si="8"/>
        <v>-104.12700963446071</v>
      </c>
      <c r="I53" s="108">
        <f ca="1">H53*$B$36*(Prelude!$C$2^2)/($B$2*$B$3)</f>
        <v>0.11384205264017946</v>
      </c>
      <c r="J53" s="108">
        <f t="shared" ca="1" si="9"/>
        <v>113.84205264017946</v>
      </c>
    </row>
    <row r="54" spans="1:10" x14ac:dyDescent="0.35">
      <c r="A54" s="283">
        <v>12</v>
      </c>
      <c r="B54" s="108">
        <f t="shared" si="6"/>
        <v>0.6</v>
      </c>
      <c r="C54" s="108">
        <f>'SF and BM (Hogging)'!Y20/$B$35</f>
        <v>0.86832551639580224</v>
      </c>
      <c r="D54" s="108">
        <f ca="1">'Normal Stress'!I17/$B$36</f>
        <v>0.79451219028203302</v>
      </c>
      <c r="E54" s="108">
        <f t="shared" ca="1" si="7"/>
        <v>0.68989520790940617</v>
      </c>
      <c r="F54" s="1">
        <f t="shared" ca="1" si="10"/>
        <v>10.872541975341559</v>
      </c>
      <c r="G54" s="1">
        <f t="shared" ca="1" si="10"/>
        <v>78.28998525365202</v>
      </c>
      <c r="H54" s="1">
        <f t="shared" ca="1" si="8"/>
        <v>-98.519424000863808</v>
      </c>
      <c r="I54" s="108">
        <f ca="1">H54*$B$36*(Prelude!$C$2^2)/($B$2*$B$3)</f>
        <v>0.10771127964357377</v>
      </c>
      <c r="J54" s="108">
        <f t="shared" ca="1" si="9"/>
        <v>107.71127964357377</v>
      </c>
    </row>
    <row r="55" spans="1:10" x14ac:dyDescent="0.35">
      <c r="A55" s="283">
        <v>13</v>
      </c>
      <c r="B55" s="108">
        <f t="shared" si="6"/>
        <v>0.65</v>
      </c>
      <c r="C55" s="108">
        <f>'SF and BM (Hogging)'!Y21/$B$35</f>
        <v>0.72520490831881057</v>
      </c>
      <c r="D55" s="108">
        <f ca="1">'Normal Stress'!I18/$B$36</f>
        <v>0.85077299603834511</v>
      </c>
      <c r="E55" s="108">
        <f t="shared" ca="1" si="7"/>
        <v>0.61698475259210783</v>
      </c>
      <c r="F55" s="1">
        <f t="shared" ca="1" si="10"/>
        <v>12.179421935843072</v>
      </c>
      <c r="G55" s="1">
        <f t="shared" ca="1" si="10"/>
        <v>101.34194916483665</v>
      </c>
      <c r="H55" s="1">
        <f t="shared" ca="1" si="8"/>
        <v>-90.201577527555486</v>
      </c>
      <c r="I55" s="108">
        <f ca="1">H55*$B$36*(Prelude!$C$2^2)/($B$2*$B$3)</f>
        <v>9.861737865293288E-2</v>
      </c>
      <c r="J55" s="108">
        <f t="shared" ca="1" si="9"/>
        <v>98.617378652932885</v>
      </c>
    </row>
    <row r="56" spans="1:10" x14ac:dyDescent="0.35">
      <c r="A56" s="283">
        <v>14</v>
      </c>
      <c r="B56" s="108">
        <f t="shared" si="6"/>
        <v>0.7</v>
      </c>
      <c r="C56" s="108">
        <f>'SF and BM (Hogging)'!Y22/$B$35</f>
        <v>0.55529513439168732</v>
      </c>
      <c r="D56" s="108">
        <f ca="1">'Normal Stress'!I19/$B$36</f>
        <v>0.75145878062876958</v>
      </c>
      <c r="E56" s="108">
        <f t="shared" ca="1" si="7"/>
        <v>0.4172814045790661</v>
      </c>
      <c r="F56" s="1">
        <f t="shared" ca="1" si="10"/>
        <v>13.213688093014246</v>
      </c>
      <c r="G56" s="1">
        <f t="shared" ca="1" si="10"/>
        <v>126.73505919369397</v>
      </c>
      <c r="H56" s="1">
        <f t="shared" ca="1" si="8"/>
        <v>-79.542584936574471</v>
      </c>
      <c r="I56" s="108">
        <f ca="1">H56*$B$36*(Prelude!$C$2^2)/($B$2*$B$3)</f>
        <v>8.6963902769071927E-2</v>
      </c>
      <c r="J56" s="108">
        <f t="shared" ca="1" si="9"/>
        <v>86.963902769071922</v>
      </c>
    </row>
    <row r="57" spans="1:10" x14ac:dyDescent="0.35">
      <c r="A57" s="283">
        <v>15</v>
      </c>
      <c r="B57" s="108">
        <f t="shared" si="6"/>
        <v>0.75</v>
      </c>
      <c r="C57" s="108">
        <f>'SF and BM (Hogging)'!Y23/$B$35</f>
        <v>0.38162928232665921</v>
      </c>
      <c r="D57" s="108">
        <f ca="1">'Normal Stress'!I20/$B$36</f>
        <v>0.42920775999234551</v>
      </c>
      <c r="E57" s="108">
        <f t="shared" ca="1" si="7"/>
        <v>0.16379824941491181</v>
      </c>
      <c r="F57" s="1">
        <f t="shared" ca="1" si="10"/>
        <v>13.794767747008224</v>
      </c>
      <c r="G57" s="1">
        <f t="shared" ca="1" si="10"/>
        <v>153.74351503371645</v>
      </c>
      <c r="H57" s="1">
        <f t="shared" ca="1" si="8"/>
        <v>-67.268246534428329</v>
      </c>
      <c r="I57" s="108">
        <f ca="1">H57*$B$36*(Prelude!$C$2^2)/($B$2*$B$3)</f>
        <v>7.3544369418350866E-2</v>
      </c>
      <c r="J57" s="108">
        <f t="shared" ca="1" si="9"/>
        <v>73.544369418350868</v>
      </c>
    </row>
    <row r="58" spans="1:10" x14ac:dyDescent="0.35">
      <c r="A58" s="283">
        <v>16</v>
      </c>
      <c r="B58" s="108">
        <f t="shared" si="6"/>
        <v>0.8</v>
      </c>
      <c r="C58" s="108">
        <f>'SF and BM (Hogging)'!Y24/$B$35</f>
        <v>0.22679846837585924</v>
      </c>
      <c r="D58" s="108">
        <f ca="1">'Normal Stress'!I21/$B$36</f>
        <v>0.31259353460457023</v>
      </c>
      <c r="E58" s="108">
        <f t="shared" ca="1" si="7"/>
        <v>7.0895734872512675E-2</v>
      </c>
      <c r="F58" s="1">
        <f t="shared" ca="1" si="10"/>
        <v>14.029461731295649</v>
      </c>
      <c r="G58" s="1">
        <f t="shared" ca="1" si="10"/>
        <v>181.56774451202031</v>
      </c>
      <c r="H58" s="1">
        <f t="shared" ca="1" si="8"/>
        <v>-54.178134494000801</v>
      </c>
      <c r="I58" s="108">
        <f ca="1">H58*$B$36*(Prelude!$C$2^2)/($B$2*$B$3)</f>
        <v>5.9232950803684202E-2</v>
      </c>
      <c r="J58" s="108">
        <f t="shared" ca="1" si="9"/>
        <v>59.232950803684204</v>
      </c>
    </row>
    <row r="59" spans="1:10" x14ac:dyDescent="0.35">
      <c r="A59" s="283">
        <v>17</v>
      </c>
      <c r="B59" s="108">
        <f t="shared" si="6"/>
        <v>0.85</v>
      </c>
      <c r="C59" s="108">
        <f>'SF and BM (Hogging)'!Y25/$B$35</f>
        <v>0.10889530808115808</v>
      </c>
      <c r="D59" s="108">
        <f ca="1">'Normal Stress'!I22/$B$36</f>
        <v>0.26227747071468144</v>
      </c>
      <c r="E59" s="108">
        <f t="shared" ca="1" si="7"/>
        <v>2.856078597622215E-2</v>
      </c>
      <c r="F59" s="1">
        <f t="shared" ca="1" si="10"/>
        <v>14.128918252144384</v>
      </c>
      <c r="G59" s="1">
        <f t="shared" ca="1" si="10"/>
        <v>209.72612449546034</v>
      </c>
      <c r="H59" s="1">
        <f t="shared" ca="1" si="8"/>
        <v>-40.75387194843708</v>
      </c>
      <c r="I59" s="108">
        <f ca="1">H59*$B$36*(Prelude!$C$2^2)/($B$2*$B$3)</f>
        <v>4.4556205464193692E-2</v>
      </c>
      <c r="J59" s="108">
        <f t="shared" ca="1" si="9"/>
        <v>44.556205464193695</v>
      </c>
    </row>
    <row r="60" spans="1:10" x14ac:dyDescent="0.35">
      <c r="A60" s="283">
        <v>18</v>
      </c>
      <c r="B60" s="108">
        <f t="shared" si="6"/>
        <v>0.9</v>
      </c>
      <c r="C60" s="108">
        <f>'SF and BM (Hogging)'!Y26/$B$35</f>
        <v>3.6662840674499673E-2</v>
      </c>
      <c r="D60" s="108">
        <f ca="1">'Normal Stress'!I23/$B$36</f>
        <v>0.12938518781406369</v>
      </c>
      <c r="E60" s="108">
        <f t="shared" ca="1" si="7"/>
        <v>4.7436285264672341E-3</v>
      </c>
      <c r="F60" s="1">
        <f t="shared" ref="F60:G62" ca="1" si="11">E60+E59+F59</f>
        <v>14.162222666647073</v>
      </c>
      <c r="G60" s="1">
        <f t="shared" ca="1" si="11"/>
        <v>238.0172654142518</v>
      </c>
      <c r="H60" s="1">
        <f t="shared" ca="1" si="8"/>
        <v>-27.19684846752196</v>
      </c>
      <c r="I60" s="108">
        <f ca="1">H60*$B$36*(Prelude!$C$2^2)/($B$2*$B$3)</f>
        <v>2.9734312602999722E-2</v>
      </c>
      <c r="J60" s="108">
        <f t="shared" ca="1" si="9"/>
        <v>29.734312602999722</v>
      </c>
    </row>
    <row r="61" spans="1:10" x14ac:dyDescent="0.35">
      <c r="A61" s="283">
        <v>19</v>
      </c>
      <c r="B61" s="108">
        <f t="shared" si="6"/>
        <v>0.95</v>
      </c>
      <c r="C61" s="108">
        <f>'SF and BM (Hogging)'!Y27/$B$35</f>
        <v>5.9442792642535568E-3</v>
      </c>
      <c r="D61" s="108">
        <f ca="1">'Normal Stress'!I24/$B$36</f>
        <v>8.250752612889227E-2</v>
      </c>
      <c r="E61" s="108">
        <f t="shared" ca="1" si="7"/>
        <v>4.9044777671283281E-4</v>
      </c>
      <c r="F61" s="1">
        <f t="shared" ca="1" si="11"/>
        <v>14.167456742950254</v>
      </c>
      <c r="G61" s="1">
        <f t="shared" ca="1" si="11"/>
        <v>266.34694482384913</v>
      </c>
      <c r="H61" s="1">
        <f t="shared" ca="1" si="8"/>
        <v>-13.601286495800935</v>
      </c>
      <c r="I61" s="108">
        <f ca="1">H61*$B$36*(Prelude!$C$2^2)/($B$2*$B$3)</f>
        <v>1.4870285612395916E-2</v>
      </c>
      <c r="J61" s="108">
        <f t="shared" ca="1" si="9"/>
        <v>14.870285612395916</v>
      </c>
    </row>
    <row r="62" spans="1:10" x14ac:dyDescent="0.35">
      <c r="A62" s="283">
        <v>20</v>
      </c>
      <c r="B62" s="108">
        <f t="shared" si="6"/>
        <v>1</v>
      </c>
      <c r="C62" s="108">
        <f>'SF and BM (Hogging)'!Y28/$B$35</f>
        <v>0</v>
      </c>
      <c r="D62" s="108">
        <f ca="1">'Normal Stress'!I25/$B$36</f>
        <v>0</v>
      </c>
      <c r="E62" s="108">
        <f t="shared" ca="1" si="7"/>
        <v>0</v>
      </c>
      <c r="F62" s="1">
        <f t="shared" ca="1" si="11"/>
        <v>14.167947190726967</v>
      </c>
      <c r="G62" s="1">
        <f t="shared" ca="1" si="11"/>
        <v>294.68234875752637</v>
      </c>
      <c r="H62" s="1">
        <f t="shared" ca="1" si="8"/>
        <v>0</v>
      </c>
      <c r="I62" s="108">
        <f ca="1">H62*$B$36*(Prelude!$C$2^2)/($B$2*$B$3)</f>
        <v>0</v>
      </c>
      <c r="J62" s="108">
        <f t="shared" ca="1" si="9"/>
        <v>0</v>
      </c>
    </row>
  </sheetData>
  <mergeCells count="2">
    <mergeCell ref="A8:J8"/>
    <mergeCell ref="A39:J3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2BD5-BF92-4044-ADE9-8C83AE63A099}">
  <dimension ref="A1:AH58"/>
  <sheetViews>
    <sheetView tabSelected="1" zoomScale="55" zoomScaleNormal="55" workbookViewId="0">
      <selection activeCell="L21" sqref="L21:M23"/>
    </sheetView>
  </sheetViews>
  <sheetFormatPr defaultRowHeight="14.5" x14ac:dyDescent="0.35"/>
  <cols>
    <col min="12" max="12" width="16.26953125" customWidth="1"/>
    <col min="16" max="16" width="15.26953125" bestFit="1" customWidth="1"/>
    <col min="17" max="17" width="14.81640625" bestFit="1" customWidth="1"/>
    <col min="20" max="20" width="11.36328125" bestFit="1" customWidth="1"/>
    <col min="26" max="26" width="12.6328125" bestFit="1" customWidth="1"/>
  </cols>
  <sheetData>
    <row r="1" spans="1:34" ht="15" thickBot="1" x14ac:dyDescent="0.4">
      <c r="A1" s="286" t="str">
        <f>'Secção Mestra'!A21</f>
        <v>Chapa</v>
      </c>
      <c r="B1" s="287" t="str">
        <f>'Secção Mestra'!C21</f>
        <v>δ (m)</v>
      </c>
      <c r="C1" s="287" t="str">
        <f>'Secção Mestra'!D21</f>
        <v>c</v>
      </c>
      <c r="D1" s="287" t="str">
        <f>'Secção Mestra'!E21</f>
        <v>area</v>
      </c>
      <c r="E1" s="287" t="str">
        <f>'Secção Mestra'!F21</f>
        <v>z</v>
      </c>
      <c r="F1" s="287" t="str">
        <f>'Secção Mestra'!G21</f>
        <v>Io</v>
      </c>
      <c r="G1" s="287" t="str">
        <f>'Secção Mestra'!H21</f>
        <v>A*z</v>
      </c>
      <c r="H1" s="287" t="str">
        <f>'Secção Mestra'!I21</f>
        <v>A*Z^2</v>
      </c>
      <c r="I1" s="288" t="str">
        <f>'Secção Mestra'!J21</f>
        <v>Izz</v>
      </c>
      <c r="J1" s="21"/>
      <c r="K1" s="21"/>
      <c r="L1" s="297" t="s">
        <v>626</v>
      </c>
      <c r="M1" s="298" t="s">
        <v>627</v>
      </c>
      <c r="N1" s="298" t="s">
        <v>628</v>
      </c>
      <c r="O1" s="298" t="s">
        <v>629</v>
      </c>
      <c r="P1" s="298" t="s">
        <v>630</v>
      </c>
      <c r="Q1" s="298" t="s">
        <v>631</v>
      </c>
      <c r="R1" s="298" t="s">
        <v>632</v>
      </c>
      <c r="S1" s="298" t="s">
        <v>633</v>
      </c>
      <c r="T1" s="299" t="s">
        <v>634</v>
      </c>
      <c r="W1" s="399" t="s">
        <v>635</v>
      </c>
      <c r="X1" s="399"/>
      <c r="Y1" s="399"/>
      <c r="Z1" s="399"/>
      <c r="AA1" s="399"/>
      <c r="AB1" s="399"/>
      <c r="AC1" s="399" t="s">
        <v>636</v>
      </c>
      <c r="AD1" s="399"/>
      <c r="AE1" s="399"/>
      <c r="AF1" s="399"/>
      <c r="AG1" s="399"/>
      <c r="AH1" s="399"/>
    </row>
    <row r="2" spans="1:34" x14ac:dyDescent="0.35">
      <c r="A2" s="289" t="str">
        <f>'Secção Mestra'!A22</f>
        <v>A</v>
      </c>
      <c r="B2" s="290">
        <f>'Secção Mestra'!C22</f>
        <v>1.9688761458461101E-2</v>
      </c>
      <c r="C2" s="290">
        <f>'Secção Mestra'!D22</f>
        <v>1.2</v>
      </c>
      <c r="D2" s="290">
        <f>'Secção Mestra'!E22</f>
        <v>2.362651375015332E-2</v>
      </c>
      <c r="E2" s="290">
        <f>'Secção Mestra'!F22</f>
        <v>13.1</v>
      </c>
      <c r="F2" s="290">
        <f>'Secção Mestra'!G22</f>
        <v>2.8351816500183989E-3</v>
      </c>
      <c r="G2" s="290">
        <f>'Secção Mestra'!H22</f>
        <v>0.30950733012700848</v>
      </c>
      <c r="H2" s="290">
        <f>'Secção Mestra'!I22</f>
        <v>4.0545460246638108</v>
      </c>
      <c r="I2" s="291">
        <f>'Secção Mestra'!J22</f>
        <v>4.0573812063138295</v>
      </c>
      <c r="L2" s="300" t="s">
        <v>637</v>
      </c>
      <c r="M2" s="301">
        <v>13.05</v>
      </c>
      <c r="N2" s="301">
        <f>B20</f>
        <v>1.5145201121893156E-2</v>
      </c>
      <c r="O2" s="301">
        <f t="shared" ref="O2:O8" si="0">M2*N2</f>
        <v>0.19764487464070568</v>
      </c>
      <c r="P2" s="301">
        <f>14-N2/2</f>
        <v>13.992427399439054</v>
      </c>
      <c r="Q2" s="301">
        <f>M2*N2^3/12</f>
        <v>3.7779342949480844E-6</v>
      </c>
      <c r="R2" s="301">
        <f t="shared" ref="R2:R8" si="1">O2*P2</f>
        <v>2.7655315592813072</v>
      </c>
      <c r="S2" s="301">
        <f t="shared" ref="S2:S8" si="2">P2^2*O2</f>
        <v>38.696499564101167</v>
      </c>
      <c r="T2" s="302">
        <f t="shared" ref="T2:T8" si="3">S2+Q2</f>
        <v>38.696503342035463</v>
      </c>
    </row>
    <row r="3" spans="1:34" x14ac:dyDescent="0.35">
      <c r="A3" s="292" t="str">
        <f>'Secção Mestra'!A23</f>
        <v>B</v>
      </c>
      <c r="B3" s="23">
        <f>'Secção Mestra'!C23</f>
        <v>1.5915251625015829E-2</v>
      </c>
      <c r="C3" s="23">
        <f>'Secção Mestra'!D23</f>
        <v>1.54</v>
      </c>
      <c r="D3" s="23">
        <f>'Secção Mestra'!E23</f>
        <v>2.4509487502524376E-2</v>
      </c>
      <c r="E3" s="23">
        <f>'Secção Mestra'!F23</f>
        <v>11.73</v>
      </c>
      <c r="F3" s="23">
        <f>'Secção Mestra'!G23</f>
        <v>4.8438917134155683E-3</v>
      </c>
      <c r="G3" s="23">
        <f>'Secção Mestra'!H23</f>
        <v>0.28749628840461094</v>
      </c>
      <c r="H3" s="23">
        <f>'Secção Mestra'!I23</f>
        <v>3.3723314629860868</v>
      </c>
      <c r="I3" s="293">
        <f>'Secção Mestra'!J23</f>
        <v>3.3771753546995025</v>
      </c>
      <c r="L3" s="300" t="s">
        <v>565</v>
      </c>
      <c r="M3" s="301">
        <v>1.2</v>
      </c>
      <c r="N3" s="301">
        <f>B21</f>
        <v>1.9688761458461101E-2</v>
      </c>
      <c r="O3" s="301">
        <f t="shared" si="0"/>
        <v>2.362651375015332E-2</v>
      </c>
      <c r="P3" s="301">
        <f>E11</f>
        <v>0</v>
      </c>
      <c r="Q3" s="301">
        <f>M3^3*N3/12</f>
        <v>2.8351816500183989E-3</v>
      </c>
      <c r="R3" s="301">
        <f t="shared" si="1"/>
        <v>0</v>
      </c>
      <c r="S3" s="301">
        <f t="shared" si="2"/>
        <v>0</v>
      </c>
      <c r="T3" s="302">
        <f t="shared" si="3"/>
        <v>2.8351816500183989E-3</v>
      </c>
      <c r="AB3" s="9"/>
      <c r="AC3" s="9"/>
      <c r="AD3" s="9"/>
      <c r="AE3" s="9"/>
      <c r="AF3" s="9"/>
      <c r="AG3" s="9"/>
    </row>
    <row r="4" spans="1:34" ht="16.5" thickBot="1" x14ac:dyDescent="0.45">
      <c r="A4" s="292" t="str">
        <f>'Secção Mestra'!A24</f>
        <v>C</v>
      </c>
      <c r="B4" s="23">
        <f>'Secção Mestra'!C24</f>
        <v>1.2116160897514525E-2</v>
      </c>
      <c r="C4" s="23">
        <f>'Secção Mestra'!D24</f>
        <v>4.1100000000000003</v>
      </c>
      <c r="D4" s="23">
        <f>'Secção Mestra'!E24</f>
        <v>4.9797421288784706E-2</v>
      </c>
      <c r="E4" s="23">
        <f>'Secção Mestra'!F24</f>
        <v>8.9049999999999994</v>
      </c>
      <c r="F4" s="23">
        <f>'Secção Mestra'!G24</f>
        <v>7.0098585012690021E-2</v>
      </c>
      <c r="G4" s="23">
        <f>'Secção Mestra'!H24</f>
        <v>0.44344603657662779</v>
      </c>
      <c r="H4" s="23">
        <f>'Secção Mestra'!I24</f>
        <v>3.9488869557148698</v>
      </c>
      <c r="I4" s="293">
        <f>'Secção Mestra'!J24</f>
        <v>4.0189855407275594</v>
      </c>
      <c r="L4" s="300" t="s">
        <v>638</v>
      </c>
      <c r="M4" s="301">
        <v>1.2</v>
      </c>
      <c r="N4" s="301">
        <f>B2</f>
        <v>1.9688761458461101E-2</v>
      </c>
      <c r="O4" s="301">
        <f t="shared" si="0"/>
        <v>2.362651375015332E-2</v>
      </c>
      <c r="P4" s="301">
        <f>14-M3-M4/2</f>
        <v>12.200000000000001</v>
      </c>
      <c r="Q4" s="301">
        <f>M4^3*N4/12</f>
        <v>2.8351816500183989E-3</v>
      </c>
      <c r="R4" s="301">
        <f t="shared" si="1"/>
        <v>0.28824346775187054</v>
      </c>
      <c r="S4" s="301">
        <f t="shared" si="2"/>
        <v>3.5165703065728207</v>
      </c>
      <c r="T4" s="302">
        <f t="shared" si="3"/>
        <v>3.5194054882228389</v>
      </c>
      <c r="X4" s="400" t="s">
        <v>600</v>
      </c>
      <c r="Y4" s="400"/>
      <c r="Z4" s="400"/>
      <c r="AA4" s="400"/>
      <c r="AB4" s="9"/>
      <c r="AD4" s="395" t="s">
        <v>600</v>
      </c>
      <c r="AE4" s="395"/>
      <c r="AF4" s="395"/>
      <c r="AG4" s="395"/>
    </row>
    <row r="5" spans="1:34" ht="15" thickBot="1" x14ac:dyDescent="0.4">
      <c r="A5" s="292" t="str">
        <f>'Secção Mestra'!A25</f>
        <v>D</v>
      </c>
      <c r="B5" s="23">
        <f>'Secção Mestra'!C25</f>
        <v>1.2116160897514525E-2</v>
      </c>
      <c r="C5" s="23">
        <f>'Secção Mestra'!D25</f>
        <v>4.62</v>
      </c>
      <c r="D5" s="23">
        <f>'Secção Mestra'!E25</f>
        <v>5.597666334651711E-2</v>
      </c>
      <c r="E5" s="23">
        <f>'Secção Mestra'!F25</f>
        <v>4.54</v>
      </c>
      <c r="F5" s="23">
        <f>'Secção Mestra'!G25</f>
        <v>9.9565691094449973E-2</v>
      </c>
      <c r="G5" s="23">
        <f>'Secção Mestra'!H25</f>
        <v>0.25413405159318769</v>
      </c>
      <c r="H5" s="23">
        <f>'Secção Mestra'!I25</f>
        <v>1.153768594233072</v>
      </c>
      <c r="I5" s="293">
        <f>'Secção Mestra'!J25</f>
        <v>1.253334285327522</v>
      </c>
      <c r="L5" s="300" t="s">
        <v>639</v>
      </c>
      <c r="M5" s="301">
        <v>11.01</v>
      </c>
      <c r="N5" s="301">
        <f>B3</f>
        <v>1.5915251625015829E-2</v>
      </c>
      <c r="O5" s="301">
        <f t="shared" si="0"/>
        <v>0.17522692039142426</v>
      </c>
      <c r="P5" s="301">
        <f>14-M3-M4-M5/2</f>
        <v>6.0950000000000015</v>
      </c>
      <c r="Q5" s="301">
        <f>M5^3*N5/12</f>
        <v>1.7700854010450409</v>
      </c>
      <c r="R5" s="301">
        <f t="shared" si="1"/>
        <v>1.0680080797857312</v>
      </c>
      <c r="S5" s="301">
        <f t="shared" si="2"/>
        <v>6.5095092462940327</v>
      </c>
      <c r="T5" s="302">
        <f t="shared" si="3"/>
        <v>8.2795946473390742</v>
      </c>
      <c r="X5" s="303"/>
      <c r="Y5" s="304" t="s">
        <v>640</v>
      </c>
      <c r="Z5" s="305" t="s">
        <v>641</v>
      </c>
      <c r="AB5" s="9"/>
      <c r="AD5" s="303"/>
      <c r="AE5" s="304" t="s">
        <v>640</v>
      </c>
      <c r="AF5" s="305" t="s">
        <v>641</v>
      </c>
    </row>
    <row r="6" spans="1:34" x14ac:dyDescent="0.35">
      <c r="A6" s="292" t="str">
        <f>'Secção Mestra'!A26</f>
        <v>E</v>
      </c>
      <c r="B6" s="23">
        <f>'Secção Mestra'!C26</f>
        <v>1.7683612916684254E-2</v>
      </c>
      <c r="C6" s="23">
        <f>'Secção Mestra'!D26</f>
        <v>3.5030000000000001</v>
      </c>
      <c r="D6" s="23">
        <f>'Secção Mestra'!E26</f>
        <v>6.2286685130376017E-2</v>
      </c>
      <c r="E6" s="23">
        <f>'Secção Mestra'!F26</f>
        <v>1.1167565251632741</v>
      </c>
      <c r="F6" s="23">
        <f>'Secção Mestra'!G26</f>
        <v>0.49999210599377975</v>
      </c>
      <c r="G6" s="23">
        <f>'Secção Mestra'!H26</f>
        <v>6.9559062050137691E-2</v>
      </c>
      <c r="H6" s="23">
        <f>'Secção Mestra'!I26</f>
        <v>7.7680536428728339E-2</v>
      </c>
      <c r="I6" s="293">
        <f>'Secção Mestra'!J26</f>
        <v>0.57767264242250804</v>
      </c>
      <c r="L6" s="300" t="s">
        <v>700</v>
      </c>
      <c r="M6" s="301">
        <v>1.49</v>
      </c>
      <c r="N6" s="301">
        <f>B6</f>
        <v>1.7683612916684254E-2</v>
      </c>
      <c r="O6" s="301">
        <f t="shared" si="0"/>
        <v>2.6348583245859539E-2</v>
      </c>
      <c r="P6" s="301">
        <f>2.29/2</f>
        <v>1.145</v>
      </c>
      <c r="Q6" s="301">
        <f>M6^3*N6/12</f>
        <v>4.8747074720110637E-3</v>
      </c>
      <c r="R6" s="301">
        <f t="shared" si="1"/>
        <v>3.0169127816509173E-2</v>
      </c>
      <c r="S6" s="301">
        <f t="shared" si="2"/>
        <v>3.4543651349903004E-2</v>
      </c>
      <c r="T6" s="302">
        <f t="shared" si="3"/>
        <v>3.9418358821914065E-2</v>
      </c>
      <c r="X6" s="306" t="s">
        <v>642</v>
      </c>
      <c r="Y6" s="9">
        <f ca="1">'Normal Stress'!L10</f>
        <v>79.134262434570289</v>
      </c>
      <c r="Z6" s="269">
        <f>'[1]Normal Stress'!L9</f>
        <v>-119</v>
      </c>
      <c r="AB6" s="9"/>
      <c r="AD6" s="306" t="s">
        <v>642</v>
      </c>
      <c r="AE6" s="9">
        <f ca="1">'Normal Stress'!L18</f>
        <v>98.722419914789597</v>
      </c>
      <c r="AF6" s="307">
        <v>-119</v>
      </c>
    </row>
    <row r="7" spans="1:34" ht="15" thickBot="1" x14ac:dyDescent="0.4">
      <c r="A7" s="292" t="str">
        <f>'Secção Mestra'!A27</f>
        <v>F</v>
      </c>
      <c r="B7" s="23">
        <f>'Secção Mestra'!C27</f>
        <v>1.7683612916684254E-2</v>
      </c>
      <c r="C7" s="23">
        <f>'Secção Mestra'!D27</f>
        <v>2.5325000000000002</v>
      </c>
      <c r="D7" s="23">
        <f>'Secção Mestra'!E27</f>
        <v>4.4783749711502875E-2</v>
      </c>
      <c r="E7" s="23">
        <f>'Secção Mestra'!F27</f>
        <v>0</v>
      </c>
      <c r="F7" s="23">
        <f>'Secção Mestra'!G27</f>
        <v>1.1670278164044209E-6</v>
      </c>
      <c r="G7" s="23">
        <f>'Secção Mestra'!H27</f>
        <v>0</v>
      </c>
      <c r="H7" s="23">
        <f>'Secção Mestra'!I27</f>
        <v>0</v>
      </c>
      <c r="I7" s="293">
        <f>'Secção Mestra'!J27</f>
        <v>1.1670278164044209E-6</v>
      </c>
      <c r="L7" s="300" t="s">
        <v>706</v>
      </c>
      <c r="M7" s="301">
        <f>M2-M8</f>
        <v>11.402000000000001</v>
      </c>
      <c r="N7" s="301">
        <f>B8</f>
        <v>1.7683612916684254E-2</v>
      </c>
      <c r="O7" s="301">
        <f t="shared" si="0"/>
        <v>0.20162855447603389</v>
      </c>
      <c r="P7" s="301">
        <f>0.76+N7/2</f>
        <v>0.7688418064583421</v>
      </c>
      <c r="Q7" s="301">
        <f>M7*N7^3/12</f>
        <v>5.2542748914681969E-6</v>
      </c>
      <c r="R7" s="301">
        <f t="shared" si="1"/>
        <v>0.15502046205693815</v>
      </c>
      <c r="S7" s="301">
        <f t="shared" si="2"/>
        <v>0.11918621208586319</v>
      </c>
      <c r="T7" s="302">
        <f t="shared" si="3"/>
        <v>0.11919146636075466</v>
      </c>
      <c r="X7" s="308" t="s">
        <v>644</v>
      </c>
      <c r="Y7" s="9">
        <f ca="1">'Normal Stress'!M10</f>
        <v>-46.965653067150363</v>
      </c>
      <c r="Z7" s="310">
        <v>119</v>
      </c>
      <c r="AB7" s="9"/>
      <c r="AD7" s="308" t="s">
        <v>644</v>
      </c>
      <c r="AE7" s="309">
        <f ca="1">'Normal Stress'!M18</f>
        <v>-58.591092922628086</v>
      </c>
      <c r="AF7" s="310">
        <v>119</v>
      </c>
    </row>
    <row r="8" spans="1:34" x14ac:dyDescent="0.35">
      <c r="A8" s="292" t="str">
        <f>'Secção Mestra'!A28</f>
        <v>G</v>
      </c>
      <c r="B8" s="23">
        <f>'Secção Mestra'!C28</f>
        <v>1.7683612916684254E-2</v>
      </c>
      <c r="C8" s="23">
        <f>'Secção Mestra'!D28</f>
        <v>2.7625000000000002</v>
      </c>
      <c r="D8" s="23">
        <f>'Secção Mestra'!E28</f>
        <v>4.8850980682340256E-2</v>
      </c>
      <c r="E8" s="23">
        <f>'Secção Mestra'!F28</f>
        <v>0</v>
      </c>
      <c r="F8" s="23">
        <f>'Secção Mestra'!G28</f>
        <v>1.2730165223365102E-6</v>
      </c>
      <c r="G8" s="23">
        <f>'Secção Mestra'!H28</f>
        <v>0</v>
      </c>
      <c r="H8" s="23">
        <f>'Secção Mestra'!I28</f>
        <v>0</v>
      </c>
      <c r="I8" s="293">
        <f>'Secção Mestra'!J28</f>
        <v>1.2730165223365102E-6</v>
      </c>
      <c r="L8" s="300" t="s">
        <v>643</v>
      </c>
      <c r="M8" s="301">
        <v>1.6479999999999999</v>
      </c>
      <c r="N8" s="301">
        <f>B11</f>
        <v>2.0683612916684253E-2</v>
      </c>
      <c r="O8" s="301">
        <f t="shared" si="0"/>
        <v>3.4086594086695648E-2</v>
      </c>
      <c r="P8" s="301">
        <f>0.76+N8/2</f>
        <v>0.77034180645834216</v>
      </c>
      <c r="Q8" s="301">
        <f>M8*N8^3/12</f>
        <v>1.2152207206343983E-6</v>
      </c>
      <c r="R8" s="301">
        <f t="shared" si="1"/>
        <v>2.6258328464757369E-2</v>
      </c>
      <c r="S8" s="301">
        <f t="shared" si="2"/>
        <v>2.0227888184117696E-2</v>
      </c>
      <c r="T8" s="302">
        <f t="shared" si="3"/>
        <v>2.0229103404838331E-2</v>
      </c>
      <c r="X8" s="9"/>
      <c r="Y8" s="9"/>
      <c r="Z8" s="9"/>
      <c r="AA8" s="9"/>
      <c r="AB8" s="9"/>
      <c r="AD8" s="9"/>
      <c r="AE8" s="9"/>
      <c r="AF8" s="9"/>
      <c r="AG8" s="9"/>
    </row>
    <row r="9" spans="1:34" ht="15" thickBot="1" x14ac:dyDescent="0.4">
      <c r="A9" s="292" t="str">
        <f>'Secção Mestra'!A29</f>
        <v>H</v>
      </c>
      <c r="B9" s="23">
        <f>'Secção Mestra'!C29</f>
        <v>1.7683612916684254E-2</v>
      </c>
      <c r="C9" s="23">
        <f>'Secção Mestra'!D29</f>
        <v>2.7625000000000002</v>
      </c>
      <c r="D9" s="23">
        <f>'Secção Mestra'!E29</f>
        <v>4.8850980682340256E-2</v>
      </c>
      <c r="E9" s="23">
        <f>'Secção Mestra'!F29</f>
        <v>0</v>
      </c>
      <c r="F9" s="23">
        <f>'Secção Mestra'!G29</f>
        <v>1.2730165223365102E-6</v>
      </c>
      <c r="G9" s="23">
        <f>'Secção Mestra'!H29</f>
        <v>0</v>
      </c>
      <c r="H9" s="23">
        <f>'Secção Mestra'!I29</f>
        <v>0</v>
      </c>
      <c r="I9" s="293">
        <f>'Secção Mestra'!J29</f>
        <v>1.2730165223365102E-6</v>
      </c>
      <c r="L9" s="311" t="s">
        <v>645</v>
      </c>
      <c r="M9" s="312" t="s">
        <v>123</v>
      </c>
      <c r="N9" s="312" t="s">
        <v>123</v>
      </c>
      <c r="O9" s="313">
        <f>SUM(O2:O8)</f>
        <v>0.68218855434102565</v>
      </c>
      <c r="P9" s="312" t="s">
        <v>123</v>
      </c>
      <c r="Q9" s="312" t="s">
        <v>123</v>
      </c>
      <c r="R9" s="313">
        <f>SUM(R2:R8)</f>
        <v>4.3332310251571133</v>
      </c>
      <c r="S9" s="312" t="s">
        <v>123</v>
      </c>
      <c r="T9" s="314">
        <f>SUM(T2:T8)</f>
        <v>50.677177587834898</v>
      </c>
      <c r="X9" s="9"/>
      <c r="Y9" s="9"/>
      <c r="Z9" s="9"/>
      <c r="AA9" s="9"/>
      <c r="AB9" s="9"/>
      <c r="AD9" s="9"/>
      <c r="AE9" s="9"/>
      <c r="AF9" s="9"/>
      <c r="AG9" s="9"/>
    </row>
    <row r="10" spans="1:34" x14ac:dyDescent="0.35">
      <c r="A10" s="292" t="str">
        <f>'Secção Mestra'!A30</f>
        <v>I</v>
      </c>
      <c r="B10" s="23">
        <f>'Secção Mestra'!C30</f>
        <v>1.7683612916684254E-2</v>
      </c>
      <c r="C10" s="23">
        <f>'Secção Mestra'!D30</f>
        <v>1.1145</v>
      </c>
      <c r="D10" s="23">
        <f>'Secção Mestra'!E30</f>
        <v>1.9708386595644601E-2</v>
      </c>
      <c r="E10" s="23">
        <f>'Secção Mestra'!F30</f>
        <v>0</v>
      </c>
      <c r="F10" s="23">
        <f>'Secção Mestra'!G30</f>
        <v>5.1358440331006002E-7</v>
      </c>
      <c r="G10" s="23">
        <f>'Secção Mestra'!H30</f>
        <v>0</v>
      </c>
      <c r="H10" s="23">
        <f>'Secção Mestra'!I30</f>
        <v>0</v>
      </c>
      <c r="I10" s="293">
        <f>'Secção Mestra'!J30</f>
        <v>5.1358440331006002E-7</v>
      </c>
      <c r="X10" s="9"/>
      <c r="Y10" s="9"/>
      <c r="Z10" s="9"/>
      <c r="AA10" s="9"/>
      <c r="AB10" s="9"/>
      <c r="AD10" s="9"/>
      <c r="AE10" s="9"/>
      <c r="AF10" s="9"/>
      <c r="AG10" s="9"/>
    </row>
    <row r="11" spans="1:34" ht="16.5" thickBot="1" x14ac:dyDescent="0.45">
      <c r="A11" s="292" t="str">
        <f>'Secção Mestra'!A31</f>
        <v>J</v>
      </c>
      <c r="B11" s="23">
        <f>'Secção Mestra'!C31</f>
        <v>2.0683612916684253E-2</v>
      </c>
      <c r="C11" s="23">
        <f>'Secção Mestra'!D31</f>
        <v>1.6479999999999999</v>
      </c>
      <c r="D11" s="23">
        <f>'Secção Mestra'!E31</f>
        <v>3.4086594086695648E-2</v>
      </c>
      <c r="E11" s="23">
        <f>'Secção Mestra'!F31</f>
        <v>0</v>
      </c>
      <c r="F11" s="23">
        <f>'Secção Mestra'!G31</f>
        <v>1.2152207206343983E-6</v>
      </c>
      <c r="G11" s="23">
        <f>'Secção Mestra'!H31</f>
        <v>0</v>
      </c>
      <c r="H11" s="23">
        <f>'Secção Mestra'!I31</f>
        <v>0</v>
      </c>
      <c r="I11" s="293">
        <f>'Secção Mestra'!J31</f>
        <v>1.2152207206343983E-6</v>
      </c>
      <c r="X11" s="400" t="s">
        <v>595</v>
      </c>
      <c r="Y11" s="400"/>
      <c r="Z11" s="400"/>
      <c r="AA11" s="400"/>
      <c r="AB11" s="9"/>
      <c r="AD11" s="395" t="s">
        <v>595</v>
      </c>
      <c r="AE11" s="395"/>
      <c r="AF11" s="395"/>
      <c r="AG11" s="395"/>
    </row>
    <row r="12" spans="1:34" ht="15" thickBot="1" x14ac:dyDescent="0.4">
      <c r="A12" s="292" t="str">
        <f>'Secção Mestra'!A32</f>
        <v>K</v>
      </c>
      <c r="B12" s="23">
        <f>'Secção Mestra'!C32</f>
        <v>1.5915251625015829E-2</v>
      </c>
      <c r="C12" s="23">
        <f>'Secção Mestra'!D32</f>
        <v>1.49</v>
      </c>
      <c r="D12" s="23">
        <f>'Secção Mestra'!E32</f>
        <v>2.3713724921273584E-2</v>
      </c>
      <c r="E12" s="23">
        <f>'Secção Mestra'!F32</f>
        <v>0.745</v>
      </c>
      <c r="F12" s="23">
        <f>'Secção Mestra'!G32</f>
        <v>4.3872367248099569E-3</v>
      </c>
      <c r="G12" s="23">
        <f>'Secção Mestra'!H32</f>
        <v>1.766672506634882E-2</v>
      </c>
      <c r="H12" s="23">
        <f>'Secção Mestra'!I32</f>
        <v>1.316171017442987E-2</v>
      </c>
      <c r="I12" s="293">
        <f>'Secção Mestra'!J32</f>
        <v>1.7548946899239828E-2</v>
      </c>
      <c r="X12" s="303"/>
      <c r="Y12" s="304" t="s">
        <v>640</v>
      </c>
      <c r="Z12" s="305" t="s">
        <v>641</v>
      </c>
      <c r="AB12" s="9"/>
      <c r="AD12" s="303"/>
      <c r="AE12" s="304" t="s">
        <v>640</v>
      </c>
      <c r="AF12" s="305" t="s">
        <v>641</v>
      </c>
    </row>
    <row r="13" spans="1:34" x14ac:dyDescent="0.35">
      <c r="A13" s="292" t="str">
        <f>'Secção Mestra'!A33</f>
        <v>L</v>
      </c>
      <c r="B13" s="23">
        <f>'Secção Mestra'!C33</f>
        <v>2.2988696791689533E-2</v>
      </c>
      <c r="C13" s="23">
        <f>'Secção Mestra'!D33</f>
        <v>2.7625000000000002</v>
      </c>
      <c r="D13" s="23">
        <f>'Secção Mestra'!E33</f>
        <v>6.3506274887042344E-2</v>
      </c>
      <c r="E13" s="23">
        <f>'Secção Mestra'!F33</f>
        <v>1.49</v>
      </c>
      <c r="F13" s="23">
        <f>'Secção Mestra'!G33</f>
        <v>2.7968172995733141E-6</v>
      </c>
      <c r="G13" s="23">
        <f>'Secção Mestra'!H33</f>
        <v>9.4624349581693093E-2</v>
      </c>
      <c r="H13" s="23">
        <f>'Secção Mestra'!I33</f>
        <v>0.14099028087672272</v>
      </c>
      <c r="I13" s="293">
        <f>'Secção Mestra'!J33</f>
        <v>0.14099307769402228</v>
      </c>
      <c r="X13" s="306" t="s">
        <v>642</v>
      </c>
      <c r="Y13" s="9">
        <f ca="1">'Normal Stress'!N10</f>
        <v>-81.607781690168366</v>
      </c>
      <c r="Z13" s="307">
        <v>119</v>
      </c>
      <c r="AB13" s="9"/>
      <c r="AD13" s="306" t="s">
        <v>642</v>
      </c>
      <c r="AE13" s="9">
        <f ca="1">'Normal Stress'!N18</f>
        <v>-56.447632749730225</v>
      </c>
      <c r="AF13" s="307">
        <v>119</v>
      </c>
    </row>
    <row r="14" spans="1:34" ht="15" thickBot="1" x14ac:dyDescent="0.4">
      <c r="A14" s="292" t="str">
        <f>'Secção Mestra'!A34</f>
        <v>M</v>
      </c>
      <c r="B14" s="23">
        <f>'Secção Mestra'!C34</f>
        <v>2.2988696791689533E-2</v>
      </c>
      <c r="C14" s="23">
        <f>'Secção Mestra'!D34</f>
        <v>2.7625000000000002</v>
      </c>
      <c r="D14" s="23">
        <f>'Secção Mestra'!E34</f>
        <v>6.3506274887042344E-2</v>
      </c>
      <c r="E14" s="23">
        <f>'Secção Mestra'!F34</f>
        <v>1.49</v>
      </c>
      <c r="F14" s="23">
        <f>'Secção Mestra'!G34</f>
        <v>2.7968172995733141E-6</v>
      </c>
      <c r="G14" s="23">
        <f>'Secção Mestra'!H34</f>
        <v>9.4624349581693093E-2</v>
      </c>
      <c r="H14" s="23">
        <f>'Secção Mestra'!I34</f>
        <v>0.14099028087672272</v>
      </c>
      <c r="I14" s="293">
        <f>'Secção Mestra'!J34</f>
        <v>0.14099307769402228</v>
      </c>
      <c r="X14" s="308" t="s">
        <v>644</v>
      </c>
      <c r="Y14" s="309">
        <f ca="1">'Normal Stress'!O10</f>
        <v>48.433670126251506</v>
      </c>
      <c r="Z14" s="310">
        <v>-119</v>
      </c>
      <c r="AB14" s="9"/>
      <c r="AD14" s="308" t="s">
        <v>644</v>
      </c>
      <c r="AE14" s="309">
        <f ca="1">'Normal Stress'!O18</f>
        <v>33.501290776264256</v>
      </c>
      <c r="AF14" s="310">
        <v>-119</v>
      </c>
    </row>
    <row r="15" spans="1:34" x14ac:dyDescent="0.35">
      <c r="A15" s="292" t="str">
        <f>'Secção Mestra'!A35</f>
        <v>N</v>
      </c>
      <c r="B15" s="23">
        <f>'Secção Mestra'!C35</f>
        <v>2.2988696791689533E-2</v>
      </c>
      <c r="C15" s="23">
        <f>'Secção Mestra'!D35</f>
        <v>2.7625000000000002</v>
      </c>
      <c r="D15" s="23">
        <f>'Secção Mestra'!E35</f>
        <v>6.3506274887042344E-2</v>
      </c>
      <c r="E15" s="23">
        <f>'Secção Mestra'!F35</f>
        <v>1.49</v>
      </c>
      <c r="F15" s="23">
        <f>'Secção Mestra'!G35</f>
        <v>2.7968172995733141E-6</v>
      </c>
      <c r="G15" s="23">
        <f>'Secção Mestra'!H35</f>
        <v>9.4624349581693093E-2</v>
      </c>
      <c r="H15" s="23">
        <f>'Secção Mestra'!I35</f>
        <v>0.14099028087672272</v>
      </c>
      <c r="I15" s="293">
        <f>'Secção Mestra'!J35</f>
        <v>0.14099307769402228</v>
      </c>
      <c r="L15" s="315" t="s">
        <v>619</v>
      </c>
      <c r="M15" s="316">
        <f>R9/O9</f>
        <v>6.351955038798458</v>
      </c>
      <c r="N15" s="317"/>
      <c r="O15" s="315" t="s">
        <v>646</v>
      </c>
      <c r="P15" s="318" t="s">
        <v>647</v>
      </c>
      <c r="Q15" s="319" t="s">
        <v>648</v>
      </c>
      <c r="R15" s="317"/>
      <c r="S15" s="297" t="s">
        <v>649</v>
      </c>
      <c r="T15" s="320"/>
      <c r="X15" s="9"/>
      <c r="Y15" s="9"/>
      <c r="Z15" s="9"/>
      <c r="AA15" s="9"/>
      <c r="AB15" s="9"/>
      <c r="AD15" s="9"/>
      <c r="AE15" s="9"/>
      <c r="AF15" s="9"/>
      <c r="AG15" s="9"/>
    </row>
    <row r="16" spans="1:34" ht="15" thickBot="1" x14ac:dyDescent="0.4">
      <c r="A16" s="292" t="str">
        <f>'Secção Mestra'!A36</f>
        <v>O</v>
      </c>
      <c r="B16" s="23">
        <f>'Secção Mestra'!C36</f>
        <v>2.2988696791689533E-2</v>
      </c>
      <c r="C16" s="23">
        <f>'Secção Mestra'!D36</f>
        <v>2.7625000000000002</v>
      </c>
      <c r="D16" s="23">
        <f>'Secção Mestra'!E36</f>
        <v>6.3506274887042344E-2</v>
      </c>
      <c r="E16" s="23">
        <f>'Secção Mestra'!F36</f>
        <v>1.49</v>
      </c>
      <c r="F16" s="23">
        <f>'Secção Mestra'!G36</f>
        <v>2.7968172995733141E-6</v>
      </c>
      <c r="G16" s="23">
        <f>'Secção Mestra'!H36</f>
        <v>9.4624349581693093E-2</v>
      </c>
      <c r="H16" s="23">
        <f>'Secção Mestra'!I36</f>
        <v>0.14099028087672272</v>
      </c>
      <c r="I16" s="293">
        <f>'Secção Mestra'!J36</f>
        <v>0.14099307769402228</v>
      </c>
      <c r="L16" s="321" t="s">
        <v>597</v>
      </c>
      <c r="M16" s="314">
        <f>2*(T9-O9*M15^2)</f>
        <v>46.305377886620718</v>
      </c>
      <c r="N16" s="317"/>
      <c r="O16" s="322" t="s">
        <v>2</v>
      </c>
      <c r="P16" s="301">
        <v>0</v>
      </c>
      <c r="Q16" s="302">
        <f t="shared" ref="Q16:Q25" ca="1" si="4">$T$22*P16/$M$16</f>
        <v>0</v>
      </c>
      <c r="R16" s="317"/>
      <c r="S16" s="322" t="s">
        <v>650</v>
      </c>
      <c r="T16" s="323">
        <f ca="1">'Classification Society'!N31</f>
        <v>5000.8637576345318</v>
      </c>
      <c r="X16" s="9"/>
      <c r="Y16" s="9"/>
      <c r="Z16" s="9"/>
      <c r="AA16" s="9"/>
      <c r="AB16" s="9"/>
      <c r="AD16" s="9"/>
      <c r="AE16" s="9"/>
      <c r="AF16" s="9"/>
      <c r="AG16" s="9"/>
    </row>
    <row r="17" spans="1:33" ht="15" thickBot="1" x14ac:dyDescent="0.4">
      <c r="A17" s="292" t="str">
        <f>'Secção Mestra'!A37</f>
        <v>P</v>
      </c>
      <c r="B17" s="23">
        <f>'Secção Mestra'!C37</f>
        <v>0.01</v>
      </c>
      <c r="C17" s="23">
        <f>'Secção Mestra'!D37</f>
        <v>5.36</v>
      </c>
      <c r="D17" s="23">
        <f>'Secção Mestra'!E37</f>
        <v>5.3600000000000002E-2</v>
      </c>
      <c r="E17" s="23">
        <f>'Secção Mestra'!F37</f>
        <v>4.17</v>
      </c>
      <c r="F17" s="23">
        <f>'Secção Mestra'!G37</f>
        <v>0.12832554666666671</v>
      </c>
      <c r="G17" s="23">
        <f>'Secção Mestra'!H37</f>
        <v>0.22351200000000002</v>
      </c>
      <c r="H17" s="23">
        <f>'Secção Mestra'!I37</f>
        <v>0.93204503999999999</v>
      </c>
      <c r="I17" s="293">
        <f>'Secção Mestra'!J37</f>
        <v>1.0603705866666666</v>
      </c>
      <c r="L17" s="317"/>
      <c r="M17" s="317"/>
      <c r="N17" s="317"/>
      <c r="O17" s="322" t="s">
        <v>96</v>
      </c>
      <c r="P17" s="301">
        <f>(P2-$M$15)*(M2)*N2</f>
        <v>1.5101002019145873</v>
      </c>
      <c r="Q17" s="302">
        <f t="shared" ca="1" si="4"/>
        <v>163.08700446505233</v>
      </c>
      <c r="R17" s="317"/>
      <c r="S17" s="322" t="s">
        <v>651</v>
      </c>
      <c r="T17" s="323">
        <f ca="1">'Classification Society'!P31</f>
        <v>3136.6371701084081</v>
      </c>
      <c r="X17" s="9"/>
      <c r="Y17" s="9"/>
      <c r="Z17" s="9"/>
      <c r="AA17" s="9"/>
      <c r="AB17" s="9"/>
      <c r="AD17" s="9"/>
      <c r="AE17" s="9"/>
      <c r="AF17" s="9"/>
      <c r="AG17" s="9"/>
    </row>
    <row r="18" spans="1:33" ht="16.5" thickBot="1" x14ac:dyDescent="0.45">
      <c r="A18" s="292" t="str">
        <f>'Secção Mestra'!A38</f>
        <v>Q</v>
      </c>
      <c r="B18" s="23">
        <f>'Secção Mestra'!C38</f>
        <v>0.01</v>
      </c>
      <c r="C18" s="23">
        <f>'Secção Mestra'!D38</f>
        <v>4.1100000000000003</v>
      </c>
      <c r="D18" s="23">
        <f>'Secção Mestra'!E38</f>
        <v>4.1100000000000005E-2</v>
      </c>
      <c r="E18" s="23">
        <f>'Secção Mestra'!F38</f>
        <v>8.9049999999999994</v>
      </c>
      <c r="F18" s="23">
        <f>'Secção Mestra'!G38</f>
        <v>5.7855442500000014E-2</v>
      </c>
      <c r="G18" s="23">
        <f>'Secção Mestra'!H38</f>
        <v>0.36599550000000003</v>
      </c>
      <c r="H18" s="23">
        <f>'Secção Mestra'!I38</f>
        <v>3.2591899274999996</v>
      </c>
      <c r="I18" s="293">
        <f>'Secção Mestra'!J38</f>
        <v>3.3170453699999998</v>
      </c>
      <c r="L18" s="315" t="s">
        <v>701</v>
      </c>
      <c r="M18" s="316">
        <f>Prelude!E2-M15</f>
        <v>7.3480449612015413</v>
      </c>
      <c r="N18" s="317"/>
      <c r="O18" s="322" t="s">
        <v>97</v>
      </c>
      <c r="P18" s="301">
        <f>$P$17+(($M$18)*(M3)-((M3^2)/2))*N3</f>
        <v>1.6695329789770683</v>
      </c>
      <c r="Q18" s="302">
        <f t="shared" ca="1" si="4"/>
        <v>180.30534136196721</v>
      </c>
      <c r="R18" s="317"/>
      <c r="S18" s="322" t="s">
        <v>652</v>
      </c>
      <c r="T18" s="323">
        <f>'Classification Society'!AK31</f>
        <v>1665.2308389266061</v>
      </c>
      <c r="X18" s="395" t="s">
        <v>653</v>
      </c>
      <c r="Y18" s="395"/>
      <c r="Z18" s="395"/>
      <c r="AA18" s="395"/>
      <c r="AB18" s="9"/>
      <c r="AD18" s="396" t="s">
        <v>653</v>
      </c>
      <c r="AE18" s="397"/>
      <c r="AF18" s="397"/>
      <c r="AG18" s="398"/>
    </row>
    <row r="19" spans="1:33" ht="15" thickBot="1" x14ac:dyDescent="0.4">
      <c r="A19" s="292" t="str">
        <f>'Secção Mestra'!A39</f>
        <v>R</v>
      </c>
      <c r="B19" s="23">
        <f>'Secção Mestra'!C39</f>
        <v>0.01</v>
      </c>
      <c r="C19" s="23">
        <f>'Secção Mestra'!D39</f>
        <v>2.74</v>
      </c>
      <c r="D19" s="23">
        <f>'Secção Mestra'!E39</f>
        <v>2.7400000000000004E-2</v>
      </c>
      <c r="E19" s="23">
        <f>'Secção Mestra'!F39</f>
        <v>12.33</v>
      </c>
      <c r="F19" s="23">
        <f>'Secção Mestra'!G39</f>
        <v>1.7142353333333339E-2</v>
      </c>
      <c r="G19" s="23">
        <f>'Secção Mestra'!H39</f>
        <v>0.33784200000000003</v>
      </c>
      <c r="H19" s="23">
        <f>'Secção Mestra'!I39</f>
        <v>4.1655918600000001</v>
      </c>
      <c r="I19" s="293">
        <f>'Secção Mestra'!J39</f>
        <v>4.1827342133333332</v>
      </c>
      <c r="L19" s="321" t="s">
        <v>702</v>
      </c>
      <c r="M19" s="314">
        <f>M15</f>
        <v>6.351955038798458</v>
      </c>
      <c r="N19" s="317"/>
      <c r="O19" s="322" t="s">
        <v>5</v>
      </c>
      <c r="P19" s="301">
        <f>$P$17+(($M$18)*(M4+M3)-(((M4+M3)^2)/2))*N4</f>
        <v>1.8006139395393654</v>
      </c>
      <c r="Q19" s="302">
        <f t="shared" ca="1" si="4"/>
        <v>194.46175374665731</v>
      </c>
      <c r="R19" s="317"/>
      <c r="S19" s="322" t="s">
        <v>654</v>
      </c>
      <c r="T19" s="323">
        <f>'Classification Society'!AM31</f>
        <v>-2643.4069186873562</v>
      </c>
      <c r="X19" s="303"/>
      <c r="Y19" s="304" t="s">
        <v>640</v>
      </c>
      <c r="Z19" s="305" t="s">
        <v>641</v>
      </c>
      <c r="AB19" s="9"/>
      <c r="AD19" s="303"/>
      <c r="AE19" s="304" t="s">
        <v>640</v>
      </c>
      <c r="AF19" s="305" t="s">
        <v>641</v>
      </c>
    </row>
    <row r="20" spans="1:33" ht="15" thickBot="1" x14ac:dyDescent="0.4">
      <c r="A20" s="292" t="str">
        <f>'Secção Mestra'!A40</f>
        <v>S</v>
      </c>
      <c r="B20" s="23">
        <f>'Secção Mestra'!C40</f>
        <v>1.5145201121893156E-2</v>
      </c>
      <c r="C20" s="23">
        <f>'Secção Mestra'!D40</f>
        <v>0.8</v>
      </c>
      <c r="D20" s="23">
        <f>'Secção Mestra'!E40</f>
        <v>1.2116160897514525E-2</v>
      </c>
      <c r="E20" s="23">
        <f>'Secção Mestra'!F40</f>
        <v>13.7</v>
      </c>
      <c r="F20" s="23">
        <f>'Secção Mestra'!G40</f>
        <v>2.3159750467114693E-7</v>
      </c>
      <c r="G20" s="23">
        <f>'Secção Mestra'!H40</f>
        <v>0.165991404295949</v>
      </c>
      <c r="H20" s="23">
        <f>'Secção Mestra'!I40</f>
        <v>2.274082238854501</v>
      </c>
      <c r="I20" s="293">
        <f>'Secção Mestra'!J40</f>
        <v>2.2740824704520057</v>
      </c>
      <c r="L20" s="317"/>
      <c r="M20" s="324"/>
      <c r="N20" s="317"/>
      <c r="O20" s="322" t="s">
        <v>108</v>
      </c>
      <c r="P20" s="301">
        <f>$P$17+(($M$18)*(M18)-(((M18)^2)/2))*N5</f>
        <v>1.9397623780183042</v>
      </c>
      <c r="Q20" s="302">
        <f t="shared" ca="1" si="4"/>
        <v>209.48943335278409</v>
      </c>
      <c r="R20" s="317"/>
      <c r="S20" s="322" t="s">
        <v>655</v>
      </c>
      <c r="T20" s="323">
        <f>'Classification Society'!AL31</f>
        <v>966.9634998688914</v>
      </c>
      <c r="X20" s="306" t="s">
        <v>642</v>
      </c>
      <c r="Y20" s="9">
        <f ca="1">'Normal Stress'!Q10</f>
        <v>4.4448416343608192</v>
      </c>
      <c r="Z20" s="307">
        <v>119</v>
      </c>
      <c r="AB20" s="9"/>
      <c r="AD20" s="306" t="s">
        <v>642</v>
      </c>
      <c r="AE20" s="9">
        <f ca="1">'Normal Stress'!Q18</f>
        <v>26.959737990621676</v>
      </c>
      <c r="AF20" s="307">
        <v>119</v>
      </c>
    </row>
    <row r="21" spans="1:33" ht="15" thickBot="1" x14ac:dyDescent="0.4">
      <c r="A21" s="292" t="str">
        <f>'Secção Mestra'!A41</f>
        <v>T</v>
      </c>
      <c r="B21" s="23">
        <f>'Secção Mestra'!C41</f>
        <v>1.9688761458461101E-2</v>
      </c>
      <c r="C21" s="23">
        <f>'Secção Mestra'!D41</f>
        <v>1.2</v>
      </c>
      <c r="D21" s="23">
        <f>'Secção Mestra'!E41</f>
        <v>2.362651375015332E-2</v>
      </c>
      <c r="E21" s="23">
        <f>'Secção Mestra'!F41</f>
        <v>13.7</v>
      </c>
      <c r="F21" s="23">
        <f>'Secção Mestra'!G41</f>
        <v>7.6322957664376472E-7</v>
      </c>
      <c r="G21" s="23">
        <f>'Secção Mestra'!H41</f>
        <v>0.32368323837710045</v>
      </c>
      <c r="H21" s="23">
        <f>'Secção Mestra'!I41</f>
        <v>4.4344603657662756</v>
      </c>
      <c r="I21" s="293">
        <f>'Secção Mestra'!J41</f>
        <v>4.434461128995852</v>
      </c>
      <c r="L21" s="315" t="s">
        <v>703</v>
      </c>
      <c r="M21" s="316">
        <f>$P$17+(($M$18)*(M5+M4+M3)-(((M5+M4+M3)^2)/2))*N5</f>
        <v>1.6473411238120872</v>
      </c>
      <c r="N21" s="317"/>
      <c r="O21" s="322" t="s">
        <v>98</v>
      </c>
      <c r="P21" s="301">
        <f>$P$17+(($M$18)*(M5+M4+M3)-(((M5+M4+M3)^2)/2))*N6</f>
        <v>1.6625901151340314</v>
      </c>
      <c r="Q21" s="302">
        <f t="shared" ca="1" si="4"/>
        <v>179.55552961759815</v>
      </c>
      <c r="R21" s="317"/>
      <c r="S21" s="322" t="s">
        <v>656</v>
      </c>
      <c r="T21" s="323">
        <f>'Classification Society'!AN31</f>
        <v>-2050.6617669888597</v>
      </c>
      <c r="X21" s="308" t="s">
        <v>644</v>
      </c>
      <c r="Y21" s="309">
        <f ca="1">'Normal Stress'!Q11</f>
        <v>-2.6379836459639514</v>
      </c>
      <c r="Z21" s="310">
        <v>-119</v>
      </c>
      <c r="AB21" s="9"/>
      <c r="AD21" s="308" t="s">
        <v>644</v>
      </c>
      <c r="AE21" s="309">
        <f ca="1">'Normal Stress'!Q19</f>
        <v>-16.000423360181241</v>
      </c>
      <c r="AF21" s="310">
        <v>-119</v>
      </c>
    </row>
    <row r="22" spans="1:33" ht="15" thickBot="1" x14ac:dyDescent="0.4">
      <c r="A22" s="292" t="str">
        <f>'Secção Mestra'!A42</f>
        <v>U</v>
      </c>
      <c r="B22" s="23">
        <f>'Secção Mestra'!C42</f>
        <v>1.5145201121893156E-2</v>
      </c>
      <c r="C22" s="23">
        <f>'Secção Mestra'!D42</f>
        <v>11.05</v>
      </c>
      <c r="D22" s="23">
        <f>'Secção Mestra'!E42</f>
        <v>0.16735447239691939</v>
      </c>
      <c r="E22" s="23">
        <f>'Secção Mestra'!F42</f>
        <v>13.7</v>
      </c>
      <c r="F22" s="23">
        <f>'Secção Mestra'!G42</f>
        <v>3.198940533270217E-6</v>
      </c>
      <c r="G22" s="23">
        <f>'Secção Mestra'!H42</f>
        <v>2.2927562718377956</v>
      </c>
      <c r="H22" s="23">
        <f>'Secção Mestra'!I42</f>
        <v>31.410760924177794</v>
      </c>
      <c r="I22" s="293">
        <f>'Secção Mestra'!J42</f>
        <v>31.410764123118327</v>
      </c>
      <c r="L22" s="322" t="s">
        <v>704</v>
      </c>
      <c r="M22" s="302">
        <f>$P$17+(($M$18)*(M4+M3)-(((M4+M3)^2)/2))*N5</f>
        <v>1.744934640057227</v>
      </c>
      <c r="N22" s="317"/>
      <c r="O22" s="322" t="s">
        <v>99</v>
      </c>
      <c r="P22" s="301">
        <f>P17+((M18)*(14)-((14)^2)/2)*N6</f>
        <v>1.5962658951154536</v>
      </c>
      <c r="Q22" s="302">
        <f t="shared" ca="1" si="4"/>
        <v>172.39268151480536</v>
      </c>
      <c r="R22" s="317"/>
      <c r="S22" s="321" t="s">
        <v>657</v>
      </c>
      <c r="T22" s="325">
        <f ca="1">MAX(T16:T21)</f>
        <v>5000.8637576345318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ht="15" thickBot="1" x14ac:dyDescent="0.4">
      <c r="A23" s="292" t="str">
        <f>'Secção Mestra'!A43</f>
        <v>V</v>
      </c>
      <c r="B23" s="23">
        <f>'Secção Mestra'!C43</f>
        <v>2.1220335500021104E-2</v>
      </c>
      <c r="C23" s="23">
        <f>'Secção Mestra'!D43</f>
        <v>2</v>
      </c>
      <c r="D23" s="23">
        <f>'Secção Mestra'!E43</f>
        <v>4.2440671000042209E-2</v>
      </c>
      <c r="E23" s="23">
        <f>'Secção Mestra'!F43</f>
        <v>10.96</v>
      </c>
      <c r="F23" s="23">
        <f>'Secção Mestra'!G43</f>
        <v>1.5925955117447888E-6</v>
      </c>
      <c r="G23" s="23">
        <f>'Secção Mestra'!H43</f>
        <v>0.46514975416046267</v>
      </c>
      <c r="H23" s="23">
        <f>'Secção Mestra'!I43</f>
        <v>5.0980413055986711</v>
      </c>
      <c r="I23" s="293">
        <f>'Secção Mestra'!J43</f>
        <v>5.0980428981941825</v>
      </c>
      <c r="L23" s="321" t="s">
        <v>705</v>
      </c>
      <c r="M23" s="314">
        <f>$P$17+(($M$18)*(M3)-((M3^2)/2))*N4</f>
        <v>1.6695329789770683</v>
      </c>
      <c r="O23" s="322" t="s">
        <v>100</v>
      </c>
      <c r="P23" s="301">
        <f>($M$15-P7)*N7*(M7+M8)</f>
        <v>1.2884214531829019</v>
      </c>
      <c r="Q23" s="302">
        <f t="shared" ca="1" si="4"/>
        <v>139.14625997778259</v>
      </c>
    </row>
    <row r="24" spans="1:33" ht="15" thickBot="1" x14ac:dyDescent="0.4">
      <c r="A24" s="292" t="str">
        <f>'Secção Mestra'!A44</f>
        <v>W</v>
      </c>
      <c r="B24" s="23">
        <f>'Secção Mestra'!C44</f>
        <v>2.1220335500021104E-2</v>
      </c>
      <c r="C24" s="23">
        <f>'Secção Mestra'!D44</f>
        <v>2</v>
      </c>
      <c r="D24" s="23">
        <f>'Secção Mestra'!E44</f>
        <v>4.2440671000042209E-2</v>
      </c>
      <c r="E24" s="23">
        <f>'Secção Mestra'!F44</f>
        <v>6.85</v>
      </c>
      <c r="F24" s="23">
        <f>'Secção Mestra'!G44</f>
        <v>1.5925955117447888E-6</v>
      </c>
      <c r="G24" s="23">
        <f>'Secção Mestra'!H44</f>
        <v>0.29071859635028913</v>
      </c>
      <c r="H24" s="23">
        <f>'Secção Mestra'!I44</f>
        <v>1.9914223849994801</v>
      </c>
      <c r="I24" s="293">
        <f>'Secção Mestra'!J44</f>
        <v>1.9914239775949918</v>
      </c>
      <c r="O24" s="321" t="s">
        <v>101</v>
      </c>
      <c r="P24" s="313">
        <v>0</v>
      </c>
      <c r="Q24" s="314">
        <f ca="1">$T$22*P24/$M$16</f>
        <v>0</v>
      </c>
    </row>
    <row r="25" spans="1:33" x14ac:dyDescent="0.35">
      <c r="A25" s="292" t="str">
        <f>'Secção Mestra'!A45</f>
        <v>X</v>
      </c>
      <c r="B25" s="23">
        <f>'Secção Mestra'!C45</f>
        <v>2.1220335500021104E-2</v>
      </c>
      <c r="C25" s="23">
        <f>'Secção Mestra'!D45</f>
        <v>2</v>
      </c>
      <c r="D25" s="23">
        <f>'Secção Mestra'!E45</f>
        <v>4.2440671000042209E-2</v>
      </c>
      <c r="E25" s="23">
        <f>'Secção Mestra'!F45</f>
        <v>1.49</v>
      </c>
      <c r="F25" s="23">
        <f>'Secção Mestra'!G45</f>
        <v>1.5925955117447888E-6</v>
      </c>
      <c r="G25" s="23">
        <f>'Secção Mestra'!H45</f>
        <v>6.3236599790062895E-2</v>
      </c>
      <c r="H25" s="23">
        <f>'Secção Mestra'!I45</f>
        <v>9.4222533687193702E-2</v>
      </c>
      <c r="I25" s="293">
        <f>'Secção Mestra'!J45</f>
        <v>9.4224126282705448E-2</v>
      </c>
    </row>
    <row r="26" spans="1:33" x14ac:dyDescent="0.35">
      <c r="A26" s="292" t="str">
        <f>'Secção Mestra'!A46</f>
        <v>Y</v>
      </c>
      <c r="B26" s="23">
        <f>'Secção Mestra'!C46</f>
        <v>1.7683612916684254E-2</v>
      </c>
      <c r="C26" s="23">
        <f>'Secção Mestra'!D46</f>
        <v>1.4781</v>
      </c>
      <c r="D26" s="23">
        <f>'Secção Mestra'!E46</f>
        <v>2.6138148252150994E-2</v>
      </c>
      <c r="E26" s="23">
        <f>'Secção Mestra'!F46</f>
        <v>0.745</v>
      </c>
      <c r="F26" s="23">
        <f>'Secção Mestra'!G46</f>
        <v>4.7588411120380531E-3</v>
      </c>
      <c r="G26" s="23">
        <f>'Secção Mestra'!H46</f>
        <v>1.9472920447852492E-2</v>
      </c>
      <c r="H26" s="23">
        <f>'Secção Mestra'!I46</f>
        <v>1.4507325733650106E-2</v>
      </c>
      <c r="I26" s="293">
        <f>'Secção Mestra'!J46</f>
        <v>1.926616684568816E-2</v>
      </c>
    </row>
    <row r="27" spans="1:33" x14ac:dyDescent="0.35">
      <c r="A27" s="292" t="str">
        <f>'Secção Mestra'!A47</f>
        <v>Z</v>
      </c>
      <c r="B27" s="23">
        <f>'Secção Mestra'!C47</f>
        <v>1.7683612916684254E-2</v>
      </c>
      <c r="C27" s="23">
        <f>'Secção Mestra'!D47</f>
        <v>1.49</v>
      </c>
      <c r="D27" s="23">
        <f>'Secção Mestra'!E47</f>
        <v>2.6348583245859539E-2</v>
      </c>
      <c r="E27" s="23">
        <f>'Secção Mestra'!F47</f>
        <v>0.745</v>
      </c>
      <c r="F27" s="23">
        <f>'Secção Mestra'!G47</f>
        <v>4.8747074720110637E-3</v>
      </c>
      <c r="G27" s="23">
        <f>'Secção Mestra'!H47</f>
        <v>1.9629694518165357E-2</v>
      </c>
      <c r="H27" s="23">
        <f>'Secção Mestra'!I47</f>
        <v>1.462412241603319E-2</v>
      </c>
      <c r="I27" s="293">
        <f>'Secção Mestra'!J47</f>
        <v>1.9498829888044255E-2</v>
      </c>
    </row>
    <row r="28" spans="1:33" x14ac:dyDescent="0.35">
      <c r="A28" s="292" t="str">
        <f>'Secção Mestra'!A48</f>
        <v>AA</v>
      </c>
      <c r="B28" s="23">
        <f>'Secção Mestra'!C48</f>
        <v>1.7683612916684254E-2</v>
      </c>
      <c r="C28" s="23">
        <f>'Secção Mestra'!D48</f>
        <v>1.49</v>
      </c>
      <c r="D28" s="23">
        <f>'Secção Mestra'!E48</f>
        <v>2.6348583245859539E-2</v>
      </c>
      <c r="E28" s="23">
        <f>'Secção Mestra'!F48</f>
        <v>0.745</v>
      </c>
      <c r="F28" s="23">
        <f>'Secção Mestra'!G48</f>
        <v>4.8747074720110637E-3</v>
      </c>
      <c r="G28" s="23">
        <f>'Secção Mestra'!H48</f>
        <v>1.9629694518165357E-2</v>
      </c>
      <c r="H28" s="23">
        <f>'Secção Mestra'!I48</f>
        <v>1.462412241603319E-2</v>
      </c>
      <c r="I28" s="293">
        <f>'Secção Mestra'!J48</f>
        <v>1.9498829888044255E-2</v>
      </c>
    </row>
    <row r="29" spans="1:33" ht="15" thickBot="1" x14ac:dyDescent="0.4">
      <c r="A29" s="294" t="str">
        <f>'Secção Mestra'!A49</f>
        <v>BB</v>
      </c>
      <c r="B29" s="295">
        <f>'Secção Mestra'!C49</f>
        <v>1.7683612916684254E-2</v>
      </c>
      <c r="C29" s="295">
        <f>'Secção Mestra'!D49</f>
        <v>1.49</v>
      </c>
      <c r="D29" s="295">
        <f>'Secção Mestra'!E49</f>
        <v>2.6348583245859539E-2</v>
      </c>
      <c r="E29" s="295">
        <f>'Secção Mestra'!F49</f>
        <v>0.745</v>
      </c>
      <c r="F29" s="295">
        <f>'Secção Mestra'!G49</f>
        <v>4.8747074720110637E-3</v>
      </c>
      <c r="G29" s="295">
        <f>'Secção Mestra'!H49</f>
        <v>1.9629694518165357E-2</v>
      </c>
      <c r="H29" s="295">
        <f>'Secção Mestra'!I49</f>
        <v>1.462412241603319E-2</v>
      </c>
      <c r="I29" s="296">
        <f>'Secção Mestra'!J49</f>
        <v>1.9498829888044255E-2</v>
      </c>
      <c r="T29" s="9"/>
    </row>
    <row r="30" spans="1:33" ht="15" thickBot="1" x14ac:dyDescent="0.4">
      <c r="A30" s="286" t="str">
        <f>'Secção Mestra'!A50</f>
        <v>Total</v>
      </c>
      <c r="B30" s="287" t="str">
        <f>'Secção Mestra'!C50</f>
        <v>-</v>
      </c>
      <c r="C30" s="287" t="str">
        <f>'Secção Mestra'!D50</f>
        <v>-</v>
      </c>
      <c r="D30" s="287">
        <f>'Secção Mestra'!E50</f>
        <v>1.247919345280766</v>
      </c>
      <c r="E30" s="287" t="str">
        <f>'Secção Mestra'!F50</f>
        <v>-</v>
      </c>
      <c r="F30" s="287" t="str">
        <f>'Secção Mestra'!G50</f>
        <v>-</v>
      </c>
      <c r="G30" s="287">
        <f>'Secção Mestra'!H50</f>
        <v>6.3675542609587037</v>
      </c>
      <c r="H30" s="287">
        <f>'Secção Mestra'!I50</f>
        <v>66.902532681273556</v>
      </c>
      <c r="I30" s="288">
        <f>'Secção Mestra'!J50</f>
        <v>67.806987280180138</v>
      </c>
      <c r="L30" s="326" t="s">
        <v>658</v>
      </c>
      <c r="M30" s="327" t="s">
        <v>659</v>
      </c>
      <c r="N30" s="327" t="s">
        <v>660</v>
      </c>
      <c r="O30" s="327" t="s">
        <v>661</v>
      </c>
      <c r="P30" s="327" t="s">
        <v>662</v>
      </c>
      <c r="Q30" s="327" t="s">
        <v>663</v>
      </c>
      <c r="R30" s="328" t="s">
        <v>664</v>
      </c>
      <c r="T30" s="9"/>
    </row>
    <row r="31" spans="1:33" x14ac:dyDescent="0.35">
      <c r="A31" s="21"/>
      <c r="B31" s="21"/>
      <c r="C31" s="21"/>
      <c r="D31" s="21"/>
      <c r="E31" s="21"/>
      <c r="F31" s="21"/>
      <c r="G31" s="21"/>
      <c r="H31" s="21"/>
      <c r="I31" s="21"/>
      <c r="L31" s="329" t="s">
        <v>2</v>
      </c>
      <c r="M31" s="205">
        <v>0</v>
      </c>
      <c r="N31" s="205">
        <v>0</v>
      </c>
      <c r="O31" s="205">
        <v>0</v>
      </c>
      <c r="P31" s="205">
        <v>0</v>
      </c>
      <c r="Q31" s="205">
        <v>0</v>
      </c>
      <c r="R31" s="216">
        <v>0</v>
      </c>
      <c r="T31" s="9"/>
    </row>
    <row r="32" spans="1:33" x14ac:dyDescent="0.35">
      <c r="L32" s="329" t="s">
        <v>96</v>
      </c>
      <c r="M32" s="205">
        <f t="shared" ref="M32:M33" ca="1" si="5">($T$16*P17)/(N2*$M$15)</f>
        <v>78499.759865155531</v>
      </c>
      <c r="N32" s="205">
        <f t="shared" ref="N32:N33" ca="1" si="6">($T$17*P17)/(N2*$M$15)</f>
        <v>49236.547238811108</v>
      </c>
      <c r="O32" s="205">
        <f t="shared" ref="O32:O33" si="7">($T$18*P17)/(N2*$M$15)</f>
        <v>26139.528551688101</v>
      </c>
      <c r="P32" s="205">
        <f t="shared" ref="P32:P33" si="8">($T$20*P17)/(N2*$M$15)</f>
        <v>15178.658371205651</v>
      </c>
      <c r="Q32" s="205">
        <f t="shared" ref="Q32:Q33" si="9">($T$19*P17)/(N2*$M$15)</f>
        <v>-41494.19348328765</v>
      </c>
      <c r="R32" s="216">
        <f t="shared" ref="R32:R33" si="10">($T$21*P17)/(N2*$M$15)</f>
        <v>-32189.730429573789</v>
      </c>
      <c r="T32" s="9"/>
    </row>
    <row r="33" spans="12:31" x14ac:dyDescent="0.35">
      <c r="L33" s="329" t="s">
        <v>97</v>
      </c>
      <c r="M33" s="205">
        <f t="shared" ca="1" si="5"/>
        <v>66759.67481164253</v>
      </c>
      <c r="N33" s="205">
        <f t="shared" ca="1" si="6"/>
        <v>41872.941881063583</v>
      </c>
      <c r="O33" s="205">
        <f t="shared" si="7"/>
        <v>22230.213555276649</v>
      </c>
      <c r="P33" s="205">
        <f t="shared" si="8"/>
        <v>12908.603780181729</v>
      </c>
      <c r="Q33" s="205">
        <f t="shared" si="9"/>
        <v>-35288.50111483295</v>
      </c>
      <c r="R33" s="216">
        <f t="shared" si="10"/>
        <v>-27375.573370469217</v>
      </c>
      <c r="T33" s="9"/>
    </row>
    <row r="34" spans="12:31" x14ac:dyDescent="0.35">
      <c r="L34" s="329" t="s">
        <v>5</v>
      </c>
      <c r="M34" s="205">
        <f ca="1">($T$16*P19)/(N4*$M$15)</f>
        <v>72001.21385958539</v>
      </c>
      <c r="N34" s="205">
        <f ca="1">($T$17*P19)/(N4*$M$15)</f>
        <v>45160.535185570829</v>
      </c>
      <c r="O34" s="205">
        <f>($T$18*P19)/(N4*$M$15)</f>
        <v>23975.586532644284</v>
      </c>
      <c r="P34" s="205">
        <f>($T$20*P19)/(N4*$M$15)</f>
        <v>13922.10408495622</v>
      </c>
      <c r="Q34" s="205">
        <f>($T$19*P19)/(N4*$M$15)</f>
        <v>-38059.126601830016</v>
      </c>
      <c r="R34" s="216">
        <f>($T$21*P19)/(N4*$M$15)</f>
        <v>-29524.926811539543</v>
      </c>
      <c r="T34" s="9"/>
    </row>
    <row r="35" spans="12:31" x14ac:dyDescent="0.35">
      <c r="L35" s="329" t="s">
        <v>108</v>
      </c>
      <c r="M35" s="205">
        <f ca="1">($T$16*P20)/(N4*$M$15)</f>
        <v>77565.347434888317</v>
      </c>
      <c r="N35" s="205">
        <f ca="1">($T$17*P20)/(N4*$M$15)</f>
        <v>48650.465933054067</v>
      </c>
      <c r="O35" s="205">
        <f>($T$18*P20)/(N4*$M$15)</f>
        <v>25828.379824074422</v>
      </c>
      <c r="P35" s="205">
        <f>($T$20*P20)/(N4*$M$15)</f>
        <v>14997.981040711931</v>
      </c>
      <c r="Q35" s="205">
        <f>($T$19*P20)/(N4*$M$15)</f>
        <v>-41000.272352302032</v>
      </c>
      <c r="R35" s="216">
        <f>($T$21*P20)/(N4*$M$15)</f>
        <v>-31806.563853115305</v>
      </c>
      <c r="T35" s="9"/>
    </row>
    <row r="36" spans="12:31" x14ac:dyDescent="0.35">
      <c r="L36" s="329" t="s">
        <v>98</v>
      </c>
      <c r="M36" s="205">
        <f ca="1">($T$16*P21)/(N5*$M$15)</f>
        <v>82244.959729471389</v>
      </c>
      <c r="N36" s="205">
        <f ca="1">($T$17*P21)/(N5*$M$15)</f>
        <v>51585.608055747798</v>
      </c>
      <c r="O36" s="205">
        <f>($T$18*P21)/(N5*$M$15)</f>
        <v>27386.637574100758</v>
      </c>
      <c r="P36" s="205">
        <f>($T$20*P21)/(N5*$M$15)</f>
        <v>15902.827583569948</v>
      </c>
      <c r="Q36" s="205">
        <f>($T$19*P21)/(N5*$M$15)</f>
        <v>-43473.868937969972</v>
      </c>
      <c r="R36" s="216">
        <f>($T$21*P21)/(N5*$M$15)</f>
        <v>-33725.492758583365</v>
      </c>
      <c r="T36" s="9"/>
    </row>
    <row r="37" spans="12:31" x14ac:dyDescent="0.35">
      <c r="L37" s="329" t="s">
        <v>99</v>
      </c>
      <c r="M37" s="205">
        <f ca="1">($T$16*P22)/(N6*$M$15)</f>
        <v>71067.631618658983</v>
      </c>
      <c r="N37" s="205">
        <f ca="1">($T$17*P22)/(N6*$M$15)</f>
        <v>44574.974590409161</v>
      </c>
      <c r="O37" s="205">
        <f>($T$18*P22)/(N6*$M$15)</f>
        <v>23664.714248653039</v>
      </c>
      <c r="P37" s="205">
        <f>($T$20*P22)/(N6*$M$15)</f>
        <v>13741.587279289701</v>
      </c>
      <c r="Q37" s="205">
        <f>($T$19*P22)/(N6*$M$15)</f>
        <v>-37565.64430068533</v>
      </c>
      <c r="R37" s="216">
        <f>($T$21*P22)/(N6*$M$15)</f>
        <v>-29142.100663779587</v>
      </c>
      <c r="T37" s="9"/>
    </row>
    <row r="38" spans="12:31" x14ac:dyDescent="0.35">
      <c r="L38" s="329" t="s">
        <v>100</v>
      </c>
      <c r="M38" s="205">
        <f ca="1">($T$16*P23)/(N7*$M$15)</f>
        <v>57362.035663711969</v>
      </c>
      <c r="N38" s="205">
        <f ca="1">($T$17*P23)/(N7*$M$15)</f>
        <v>35978.563291432125</v>
      </c>
      <c r="O38" s="205">
        <f>($T$18*P23)/(N7*$M$15)</f>
        <v>19100.9064434108</v>
      </c>
      <c r="P38" s="205">
        <f>($T$20*P23)/(N7*$M$15)</f>
        <v>11091.48288239383</v>
      </c>
      <c r="Q38" s="205">
        <f>($T$19*P23)/(N7*$M$15)</f>
        <v>-30321.002389229347</v>
      </c>
      <c r="R38" s="216">
        <f>($T$21*P23)/(N7*$M$15)</f>
        <v>-23521.963227381748</v>
      </c>
      <c r="T38" s="9"/>
    </row>
    <row r="39" spans="12:31" ht="15" thickBot="1" x14ac:dyDescent="0.4">
      <c r="L39" s="329" t="s">
        <v>101</v>
      </c>
      <c r="M39" s="226">
        <v>0</v>
      </c>
      <c r="N39" s="226">
        <v>0</v>
      </c>
      <c r="O39" s="226">
        <v>0</v>
      </c>
      <c r="P39" s="226">
        <v>0</v>
      </c>
      <c r="Q39" s="226">
        <v>0</v>
      </c>
      <c r="R39" s="228">
        <v>0</v>
      </c>
      <c r="T39" s="9"/>
    </row>
    <row r="40" spans="12:31" x14ac:dyDescent="0.35">
      <c r="T40" s="9"/>
    </row>
    <row r="41" spans="12:31" x14ac:dyDescent="0.35">
      <c r="L41" s="401"/>
      <c r="M41" s="401"/>
      <c r="T41" s="9"/>
    </row>
    <row r="42" spans="12:31" x14ac:dyDescent="0.35">
      <c r="L42" s="401"/>
      <c r="M42" s="401"/>
      <c r="T42" s="9"/>
    </row>
    <row r="43" spans="12:31" x14ac:dyDescent="0.35">
      <c r="L43" s="401"/>
      <c r="M43" s="401"/>
      <c r="T43" s="9"/>
    </row>
    <row r="44" spans="12:31" x14ac:dyDescent="0.35">
      <c r="T44" s="9"/>
    </row>
    <row r="45" spans="12:31" x14ac:dyDescent="0.35">
      <c r="T45" s="9"/>
    </row>
    <row r="46" spans="12:31" ht="15" thickBot="1" x14ac:dyDescent="0.4">
      <c r="T46" s="9"/>
    </row>
    <row r="47" spans="12:31" x14ac:dyDescent="0.35">
      <c r="L47" s="326" t="s">
        <v>665</v>
      </c>
      <c r="M47" s="327" t="s">
        <v>666</v>
      </c>
      <c r="N47" s="327" t="s">
        <v>667</v>
      </c>
      <c r="O47" s="327" t="s">
        <v>668</v>
      </c>
      <c r="P47" s="327" t="s">
        <v>669</v>
      </c>
      <c r="Q47" s="327" t="s">
        <v>670</v>
      </c>
      <c r="R47" s="328" t="s">
        <v>671</v>
      </c>
      <c r="T47" s="9"/>
    </row>
    <row r="48" spans="12:31" x14ac:dyDescent="0.35">
      <c r="L48" s="329" t="s">
        <v>2</v>
      </c>
      <c r="M48" s="205">
        <f ca="1">SQRT(($Y$20^2)+(3*((M31/1000)^2)))</f>
        <v>4.4448416343608192</v>
      </c>
      <c r="N48" s="205">
        <f ca="1">SQRT(($AE$20^2)+(3*((N31/1000)^2)))</f>
        <v>26.959737990621676</v>
      </c>
      <c r="O48" s="205">
        <f ca="1">SQRT(($Y$6^2)+(3*((O31/1000)^2)))</f>
        <v>79.134262434570289</v>
      </c>
      <c r="P48" s="205">
        <f ca="1">SQRT(($AE$6^2)+(3*((P31/1000)^2)))</f>
        <v>98.722419914789597</v>
      </c>
      <c r="Q48" s="205">
        <f ca="1">SQRT(($Y$13^2)+(3*((Q31/1000)^2)))</f>
        <v>81.607781690168366</v>
      </c>
      <c r="R48" s="216">
        <f ca="1">SQRT(($AE$13^2)+(3*((R31/1000)^2)))</f>
        <v>56.447632749730225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2:22" x14ac:dyDescent="0.35">
      <c r="L49" s="329" t="s">
        <v>96</v>
      </c>
      <c r="M49" s="205">
        <f ca="1">SQRT(($Y$20^2)+(3*((M32/1000)^2)))</f>
        <v>136.03820608129098</v>
      </c>
      <c r="N49" s="205">
        <f ca="1">SQRT(($AE$20^2)+(3*((N32/1000)^2)))</f>
        <v>89.44014884000363</v>
      </c>
      <c r="O49" s="205">
        <f ca="1">SQRT(($Y$6^2)+(3*((O32/1000)^2)))</f>
        <v>91.170479596067693</v>
      </c>
      <c r="P49" s="205">
        <f ca="1">SQRT(($AE$6^2)+(3*((P32/1000)^2)))</f>
        <v>102.16306183587764</v>
      </c>
      <c r="Q49" s="205">
        <f ca="1">SQRT(($Y$13^2)+(3*((Q32/1000)^2)))</f>
        <v>108.74343341496862</v>
      </c>
      <c r="R49" s="216">
        <f ca="1">SQRT(($AE$13^2)+(3*((R32/1000)^2)))</f>
        <v>79.340226105263284</v>
      </c>
      <c r="T49" s="9"/>
      <c r="U49" s="9"/>
      <c r="V49" s="9"/>
    </row>
    <row r="50" spans="12:22" x14ac:dyDescent="0.35">
      <c r="L50" s="329" t="s">
        <v>97</v>
      </c>
      <c r="M50" s="205">
        <f ca="1">SQRT(($Y$20^2)+(3*((M33/1000)^2)))</f>
        <v>115.71654661293397</v>
      </c>
      <c r="N50" s="205">
        <f ca="1">SQRT(($AE$20^2)+(3*((N33/1000)^2)))</f>
        <v>77.37478437997585</v>
      </c>
      <c r="O50" s="205">
        <f ca="1">SQRT(($Y$6^2)+(3*((O33/1000)^2)))</f>
        <v>88.004424179714164</v>
      </c>
      <c r="P50" s="205">
        <f ca="1">SQRT(($AE$6^2)+(3*((P33/1000)^2)))</f>
        <v>101.22258813374222</v>
      </c>
      <c r="Q50" s="205">
        <f ca="1">SQRT(($Y$13^2)+(3*((Q33/1000)^2)))</f>
        <v>101.95913379969878</v>
      </c>
      <c r="R50" s="216">
        <f ca="1">SQRT(($AE$13^2)+(3*((R33/1000)^2)))</f>
        <v>73.719748338788065</v>
      </c>
      <c r="T50" s="9"/>
      <c r="U50" s="9"/>
      <c r="V50" s="9"/>
    </row>
    <row r="51" spans="12:22" x14ac:dyDescent="0.35">
      <c r="L51" s="329" t="s">
        <v>5</v>
      </c>
      <c r="M51" s="205">
        <f ca="1">SQRT(($Y$20^2)+(3*((M34/1000)^2)))</f>
        <v>124.78894586026361</v>
      </c>
      <c r="N51" s="205">
        <f ca="1">SQRT(($AE$20^2)+(3*((N34/1000)^2)))</f>
        <v>82.736021703152446</v>
      </c>
      <c r="O51" s="205">
        <f ca="1">SQRT(($Y$6^2)+(3*((O34/1000)^2)))</f>
        <v>89.368438163684971</v>
      </c>
      <c r="P51" s="205">
        <f ca="1">SQRT(($AE$6^2)+(3*((P34/1000)^2)))</f>
        <v>101.62475653249611</v>
      </c>
      <c r="Q51" s="205">
        <f ca="1">SQRT(($Y$13^2)+(3*((Q34/1000)^2)))</f>
        <v>104.90625045950577</v>
      </c>
      <c r="R51" s="216">
        <f ca="1">SQRT(($AE$13^2)+(3*((R34/1000)^2)))</f>
        <v>76.16757284257335</v>
      </c>
      <c r="T51" s="9"/>
      <c r="U51" s="9"/>
      <c r="V51" s="9"/>
    </row>
    <row r="52" spans="12:22" x14ac:dyDescent="0.35">
      <c r="L52" s="329" t="s">
        <v>108</v>
      </c>
      <c r="M52" s="205">
        <f t="shared" ref="M52:R52" ca="1" si="11">SQRT((3*((M35/1000)^2)))</f>
        <v>134.34712266395886</v>
      </c>
      <c r="N52" s="205">
        <f t="shared" ca="1" si="11"/>
        <v>84.265078807948441</v>
      </c>
      <c r="O52" s="205">
        <f t="shared" si="11"/>
        <v>44.736066132483799</v>
      </c>
      <c r="P52" s="205">
        <f t="shared" si="11"/>
        <v>25.97726517346781</v>
      </c>
      <c r="Q52" s="205">
        <f t="shared" si="11"/>
        <v>71.014554838348644</v>
      </c>
      <c r="R52" s="216">
        <f t="shared" si="11"/>
        <v>55.090584607779434</v>
      </c>
      <c r="T52" s="9"/>
      <c r="U52" s="9"/>
      <c r="V52" s="9"/>
    </row>
    <row r="53" spans="12:22" x14ac:dyDescent="0.35">
      <c r="L53" s="329" t="s">
        <v>98</v>
      </c>
      <c r="M53" s="205">
        <f ca="1">SQRT(($Y$21^2)+(3*((M36/1000)^2)))</f>
        <v>142.47687237030257</v>
      </c>
      <c r="N53" s="205">
        <f ca="1">SQRT(($AE$21^2)+(3*((N36/1000)^2)))</f>
        <v>90.770250760635946</v>
      </c>
      <c r="O53" s="205">
        <f ca="1">SQRT(($Y$7^2)+(3*((O36/1000)^2)))</f>
        <v>66.752200869105224</v>
      </c>
      <c r="P53" s="205">
        <f ca="1">SQRT(($AE$7^2)+(3*((P36/1000)^2)))</f>
        <v>64.742690284898558</v>
      </c>
      <c r="Q53" s="205">
        <f ca="1">SQRT(($Y$14^2)+(3*((Q36/1000)^2)))</f>
        <v>89.530733512051157</v>
      </c>
      <c r="R53" s="216">
        <f ca="1">SQRT(($AE$14^2)+(3*((R36/1000)^2)))</f>
        <v>67.339164452074883</v>
      </c>
      <c r="T53" s="9"/>
      <c r="U53" s="9"/>
      <c r="V53" s="9"/>
    </row>
    <row r="54" spans="12:22" x14ac:dyDescent="0.35">
      <c r="L54" s="329" t="s">
        <v>99</v>
      </c>
      <c r="M54" s="205">
        <f ca="1">SQRT(($Y$21^2)+(3*((M37/1000)^2)))</f>
        <v>123.12101262324245</v>
      </c>
      <c r="N54" s="205">
        <f ca="1">SQRT(($AE$21^2)+(3*((N37/1000)^2)))</f>
        <v>78.846677970044496</v>
      </c>
      <c r="O54" s="205">
        <f ca="1">SQRT(($Y$7^2)+(3*((O37/1000)^2)))</f>
        <v>62.336415275785122</v>
      </c>
      <c r="P54" s="205">
        <f ca="1">SQRT(($AE$7^2)+(3*((P37/1000)^2)))</f>
        <v>63.240887349333171</v>
      </c>
      <c r="Q54" s="205">
        <f ca="1">SQRT(($Y$14^2)+(3*((Q37/1000)^2)))</f>
        <v>81.113212839064531</v>
      </c>
      <c r="R54" s="216">
        <f ca="1">SQRT(($AE$14^2)+(3*((R37/1000)^2)))</f>
        <v>60.58153660125663</v>
      </c>
      <c r="T54" s="9"/>
      <c r="U54" s="9"/>
      <c r="V54" s="9"/>
    </row>
    <row r="55" spans="12:22" x14ac:dyDescent="0.35">
      <c r="L55" s="329" t="s">
        <v>100</v>
      </c>
      <c r="M55" s="205">
        <f ca="1">SQRT(($Y$21^2)+(3*((M38/1000)^2)))</f>
        <v>99.388975063491145</v>
      </c>
      <c r="N55" s="205">
        <f ca="1">SQRT(($AE$21^2)+(3*((N38/1000)^2)))</f>
        <v>64.338049374004143</v>
      </c>
      <c r="O55" s="205">
        <f ca="1">SQRT(($Y$7^2)+(3*((O38/1000)^2)))</f>
        <v>57.448293698801244</v>
      </c>
      <c r="P55" s="205">
        <f ca="1">SQRT(($AE$7^2)+(3*((P38/1000)^2)))</f>
        <v>61.660190945693195</v>
      </c>
      <c r="Q55" s="205">
        <f ca="1">SQRT(($Y$14^2)+(3*((Q38/1000)^2)))</f>
        <v>71.441654233097807</v>
      </c>
      <c r="R55" s="216">
        <f ca="1">SQRT(($AE$14^2)+(3*((R38/1000)^2)))</f>
        <v>52.746419270759091</v>
      </c>
      <c r="T55" s="9"/>
      <c r="U55" s="9"/>
      <c r="V55" s="9"/>
    </row>
    <row r="56" spans="12:22" ht="15" thickBot="1" x14ac:dyDescent="0.4">
      <c r="L56" s="330" t="s">
        <v>101</v>
      </c>
      <c r="M56" s="226">
        <f ca="1">SQRT(($Y$21^2)+(3*((M39/1000)^2)))</f>
        <v>2.6379836459639514</v>
      </c>
      <c r="N56" s="226">
        <f ca="1">SQRT(($AE$21^2)+(3*((N39/1000)^2)))</f>
        <v>16.000423360181241</v>
      </c>
      <c r="O56" s="226">
        <f ca="1">SQRT(($Y$7^2)+(3*((O39/1000)^2)))</f>
        <v>46.965653067150363</v>
      </c>
      <c r="P56" s="226">
        <f ca="1">SQRT(($AE$7^2)+(3*((P39/1000)^2)))</f>
        <v>58.591092922628086</v>
      </c>
      <c r="Q56" s="226">
        <f ca="1">SQRT(($Y$14^2)+(3*((Q39/1000)^2)))</f>
        <v>48.433670126251506</v>
      </c>
      <c r="R56" s="228">
        <f ca="1">SQRT(($AE$14^2)+(3*((R39/1000)^2)))</f>
        <v>33.501290776264256</v>
      </c>
    </row>
    <row r="58" spans="12:22" x14ac:dyDescent="0.35">
      <c r="L58" s="401"/>
      <c r="M58" s="401"/>
      <c r="N58" s="401"/>
      <c r="O58" s="401"/>
      <c r="P58" s="401"/>
      <c r="Q58" s="401"/>
      <c r="R58" s="401"/>
    </row>
  </sheetData>
  <mergeCells count="8">
    <mergeCell ref="X18:AA18"/>
    <mergeCell ref="AD18:AG18"/>
    <mergeCell ref="W1:AB1"/>
    <mergeCell ref="AC1:AH1"/>
    <mergeCell ref="X4:AA4"/>
    <mergeCell ref="AD4:AG4"/>
    <mergeCell ref="X11:AA11"/>
    <mergeCell ref="AD11:A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Prelude</vt:lpstr>
      <vt:lpstr>OffSet da Hull</vt:lpstr>
      <vt:lpstr>Secção Mestra</vt:lpstr>
      <vt:lpstr>Secção Longitudinal</vt:lpstr>
      <vt:lpstr>Curvas de Bojean</vt:lpstr>
      <vt:lpstr>LW</vt:lpstr>
      <vt:lpstr>Tanques</vt:lpstr>
      <vt:lpstr>Tanques Carga</vt:lpstr>
      <vt:lpstr>DW</vt:lpstr>
      <vt:lpstr>DW + LW</vt:lpstr>
      <vt:lpstr>SW Buoyancy Cargo</vt:lpstr>
      <vt:lpstr>SW Buoyancy Sagging Cargo</vt:lpstr>
      <vt:lpstr>SW Buoyancy Hogging Cargo</vt:lpstr>
      <vt:lpstr>SW Buoyancy Ballast</vt:lpstr>
      <vt:lpstr>SW Buoyancy Sagging Ballast</vt:lpstr>
      <vt:lpstr>SW Buoyancy Hogging Ballast</vt:lpstr>
      <vt:lpstr>SF and BM (Still Water)</vt:lpstr>
      <vt:lpstr>SF and BM (Sagging)</vt:lpstr>
      <vt:lpstr>SF and BM (Hogging)</vt:lpstr>
      <vt:lpstr>Classification Society</vt:lpstr>
      <vt:lpstr>Normal Stress</vt:lpstr>
      <vt:lpstr>Vertical Displacement (Cargo)</vt:lpstr>
      <vt:lpstr>Vertical Displacement (Ballast)</vt:lpstr>
      <vt:lpstr>Shear Stress Distibution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Anastácia</dc:creator>
  <cp:lastModifiedBy>Adriano Brinkers</cp:lastModifiedBy>
  <cp:lastPrinted>2024-10-19T10:55:04Z</cp:lastPrinted>
  <dcterms:created xsi:type="dcterms:W3CDTF">2024-09-12T22:56:11Z</dcterms:created>
  <dcterms:modified xsi:type="dcterms:W3CDTF">2024-10-21T02:20:35Z</dcterms:modified>
</cp:coreProperties>
</file>